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rancais" sheetId="1" r:id="rId1"/>
    <sheet name="Englis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<sst xmlns="http://schemas.openxmlformats.org/spreadsheetml/2006/main" count="216" uniqueCount="149">
  <si>
    <t>Paramètres télescope</t>
  </si>
  <si>
    <t>Paramètres spectrographe</t>
  </si>
  <si>
    <t>Nombre de traits / mm (m) :</t>
  </si>
  <si>
    <t>Ordre de diffraction (k) :</t>
  </si>
  <si>
    <r>
      <t>Angle total (</t>
    </r>
    <r>
      <rPr>
        <sz val="10"/>
        <rFont val="Symbol"/>
        <family val="1"/>
      </rPr>
      <t>g</t>
    </r>
    <r>
      <rPr>
        <sz val="10"/>
        <rFont val="Arial"/>
        <family val="0"/>
      </rPr>
      <t>) :</t>
    </r>
  </si>
  <si>
    <r>
      <t>Angle d'incidence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</si>
  <si>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Longueur d'onde calage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</si>
  <si>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r>
      <t>Angle de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</si>
  <si>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Anamorphose (r) :</t>
  </si>
  <si>
    <t>Taille d'un pixel (p) :</t>
  </si>
  <si>
    <t>Nombre de pixels (Nx) :</t>
  </si>
  <si>
    <t>Tirage réseau-objectif (T) :</t>
  </si>
  <si>
    <t>A/pixel</t>
  </si>
  <si>
    <t>mm</t>
  </si>
  <si>
    <t>°</t>
  </si>
  <si>
    <r>
      <t>Dispersion (</t>
    </r>
    <r>
      <rPr>
        <sz val="10"/>
        <rFont val="Symbol"/>
        <family val="1"/>
      </rPr>
      <t>r</t>
    </r>
    <r>
      <rPr>
        <sz val="10"/>
        <rFont val="Arial"/>
        <family val="0"/>
      </rPr>
      <t>) :</t>
    </r>
  </si>
  <si>
    <t>A</t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</si>
  <si>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0"/>
      </rPr>
      <t>) :</t>
    </r>
  </si>
  <si>
    <t>"</t>
  </si>
  <si>
    <t>FWHMc :</t>
  </si>
  <si>
    <t>microns</t>
  </si>
  <si>
    <t>FWHMo :</t>
  </si>
  <si>
    <t>FWHMd :</t>
  </si>
  <si>
    <t>FWHMt :</t>
  </si>
  <si>
    <t>Facteur d'échantillonnage :</t>
  </si>
  <si>
    <r>
      <t>Lambda min. (</t>
    </r>
    <r>
      <rPr>
        <sz val="10"/>
        <rFont val="Symbol"/>
        <family val="1"/>
      </rPr>
      <t>l</t>
    </r>
    <r>
      <rPr>
        <sz val="10"/>
        <rFont val="Arial"/>
        <family val="0"/>
      </rPr>
      <t>1) :</t>
    </r>
  </si>
  <si>
    <r>
      <t>Lambda max. (</t>
    </r>
    <r>
      <rPr>
        <sz val="10"/>
        <rFont val="Symbol"/>
        <family val="1"/>
      </rPr>
      <t>l</t>
    </r>
    <r>
      <rPr>
        <sz val="10"/>
        <rFont val="Arial"/>
        <family val="0"/>
      </rPr>
      <t>2) :</t>
    </r>
  </si>
  <si>
    <r>
      <t xml:space="preserve">Diamètre objectif à </t>
    </r>
    <r>
      <rPr>
        <sz val="10"/>
        <rFont val="Symbol"/>
        <family val="1"/>
      </rPr>
      <t>l</t>
    </r>
    <r>
      <rPr>
        <sz val="10"/>
        <rFont val="Arial"/>
        <family val="0"/>
      </rPr>
      <t>0 (d2) :</t>
    </r>
  </si>
  <si>
    <t>Pouvoir de résolution (R) :</t>
  </si>
  <si>
    <t>Diamètre (D) :</t>
  </si>
  <si>
    <t>Focale (f) :</t>
  </si>
  <si>
    <t>F/D (F#) :</t>
  </si>
  <si>
    <t>Nombre de photons (E) :</t>
  </si>
  <si>
    <t>photons/cm2/s/A</t>
  </si>
  <si>
    <t>Transmission atmosphérique (Ta) :</t>
  </si>
  <si>
    <t>Transmission télescope (To) :</t>
  </si>
  <si>
    <t>Fraction intégrée axe trans. (k) :</t>
  </si>
  <si>
    <t>%</t>
  </si>
  <si>
    <t>Temps de pose total (t) :</t>
  </si>
  <si>
    <t>Efficacité (R) :</t>
  </si>
  <si>
    <t>e-/pixel</t>
  </si>
  <si>
    <t>Bruit de lecture (RON) :</t>
  </si>
  <si>
    <t>Etoile</t>
  </si>
  <si>
    <t>Nombre de photons du ciel (Ed) :</t>
  </si>
  <si>
    <t>photons/cm2/s/A/arcsec</t>
  </si>
  <si>
    <r>
      <t>Largeur de la fente (w)</t>
    </r>
    <r>
      <rPr>
        <sz val="10"/>
        <rFont val="Arial"/>
        <family val="0"/>
      </rPr>
      <t xml:space="preserve"> :</t>
    </r>
  </si>
  <si>
    <t>Binning axe transverse (fy) :</t>
  </si>
  <si>
    <r>
      <t>Binning axe dispersion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</si>
  <si>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Signal utile (Nm) :</t>
  </si>
  <si>
    <t>Signal de fond de ciel (Ns) :</t>
  </si>
  <si>
    <t>Signal thermique (Nd) :</t>
  </si>
  <si>
    <t>Nombre de poses élémentaitres (n) :</t>
  </si>
  <si>
    <t>Magnitude du ciel (ms) :</t>
  </si>
  <si>
    <t>Magnitude (m) :</t>
  </si>
  <si>
    <t>Température effective (Te) :</t>
  </si>
  <si>
    <t>K</t>
  </si>
  <si>
    <t>Correction Bolométrique (BC) :</t>
  </si>
  <si>
    <r>
      <t>RQE (</t>
    </r>
    <r>
      <rPr>
        <sz val="10"/>
        <rFont val="Symbol"/>
        <family val="1"/>
      </rPr>
      <t>h</t>
    </r>
    <r>
      <rPr>
        <sz val="10"/>
        <rFont val="Arial"/>
        <family val="0"/>
      </rPr>
      <t>) :</t>
    </r>
  </si>
  <si>
    <r>
      <t>Obstruction centrale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</si>
  <si>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Observation</t>
  </si>
  <si>
    <r>
      <t>Finesse spectrale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</si>
  <si>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Résultats</t>
  </si>
  <si>
    <t>F/D minimal collimateur (Fc) :</t>
  </si>
  <si>
    <t>Taille minimale réseau (W) :</t>
  </si>
  <si>
    <t>F/D minimal objectif (Fo) :</t>
  </si>
  <si>
    <t>Diamètre minimal collimateur (d1) :</t>
  </si>
  <si>
    <t>Diamètre minimal objectif (d'2) :</t>
  </si>
  <si>
    <t>e-/s/pixel</t>
  </si>
  <si>
    <t>Largeur du spectre en pixels (n) :</t>
  </si>
  <si>
    <t>Signal/bruit par échantillon :</t>
  </si>
  <si>
    <r>
      <t xml:space="preserve">Signal/bruit par 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 xml:space="preserve"> :</t>
    </r>
  </si>
  <si>
    <t>Transmission optique caméra :</t>
  </si>
  <si>
    <t>Efficacité du réseau :</t>
  </si>
  <si>
    <t>Transmission de fente :</t>
  </si>
  <si>
    <t>Transmission optique spectro :</t>
  </si>
  <si>
    <t>Tansmission totale spectro (Ts) :</t>
  </si>
  <si>
    <t>Bruit électronique :</t>
  </si>
  <si>
    <t>Bruit de signal :</t>
  </si>
  <si>
    <r>
      <t>Buit total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</si>
  <si>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t>Focale objectif :</t>
  </si>
  <si>
    <t>Transmission doublet :</t>
  </si>
  <si>
    <t>Transmission mirroir de renvoi :</t>
  </si>
  <si>
    <t>Exposure Time Calculator Lhires III</t>
  </si>
  <si>
    <t>Transmission fente</t>
  </si>
  <si>
    <t>Caméra</t>
  </si>
  <si>
    <t>Acquisition &amp; Prétraitement</t>
  </si>
  <si>
    <t>Telescope Parameters</t>
  </si>
  <si>
    <t>Diamter (D) :</t>
  </si>
  <si>
    <t>Focal Length (f) :</t>
  </si>
  <si>
    <r>
      <t>Central Obstruction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</si>
  <si>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Telescope Transmission (To) :</t>
  </si>
  <si>
    <t>Focal Ratio (F number) :</t>
  </si>
  <si>
    <t>Atmospheric Transmission (Ta) :</t>
  </si>
  <si>
    <t>Sky Magnitude (ms) :</t>
  </si>
  <si>
    <t>Total Exposure Time (t) :</t>
  </si>
  <si>
    <t>Number of Separate Exposures (n) :</t>
  </si>
  <si>
    <t>Star</t>
  </si>
  <si>
    <t>Effective Temp :</t>
  </si>
  <si>
    <t>Bolometric Correction (BC) :</t>
  </si>
  <si>
    <t>Results</t>
  </si>
  <si>
    <t>Minimum Collimator Diameter (d1) :</t>
  </si>
  <si>
    <t>Minimum Collimator focal ratio (Fc) :</t>
  </si>
  <si>
    <r>
      <t>Angle of 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</si>
  <si>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Angle of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</si>
  <si>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Minimum Grating Size (W) :</t>
  </si>
  <si>
    <t>Anamorphic Factor (r) :</t>
  </si>
  <si>
    <t>Objective Diam at Ref. λ (d2) :</t>
  </si>
  <si>
    <t>Minimum diam. of objective (d'2) :</t>
  </si>
  <si>
    <t>Minimal Focal Ratio for objective (Fo) :</t>
  </si>
  <si>
    <t>Resolving Power (R) :</t>
  </si>
  <si>
    <r>
      <t>Finesse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</si>
  <si>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Spectrograph Parameters</t>
  </si>
  <si>
    <t>Objective Focal Length :</t>
  </si>
  <si>
    <t>Grooves per mm (m) :</t>
  </si>
  <si>
    <r>
      <t>Total Angle (</t>
    </r>
    <r>
      <rPr>
        <sz val="10"/>
        <rFont val="Symbol"/>
        <family val="1"/>
      </rPr>
      <t>g</t>
    </r>
    <r>
      <rPr>
        <sz val="10"/>
        <rFont val="Arial"/>
        <family val="0"/>
      </rPr>
      <t>) :</t>
    </r>
  </si>
  <si>
    <r>
      <t>Central Ref λ 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</si>
  <si>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t>Lens to Grating distance (T) :</t>
  </si>
  <si>
    <t>Elbow Mirror Transmission :</t>
  </si>
  <si>
    <t>Transmission of Doublet :</t>
  </si>
  <si>
    <t>Overall Camera Transmission :</t>
  </si>
  <si>
    <t>Efficiency of Grating :</t>
  </si>
  <si>
    <t>Slit Width :</t>
  </si>
  <si>
    <t>Transmission through Slit :</t>
  </si>
  <si>
    <t>Total Transmission of Spectrograph (Ts) :</t>
  </si>
  <si>
    <t>Acquisition &amp; Pre-Processing</t>
  </si>
  <si>
    <r>
      <t>Binning in dispersion axis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</si>
  <si>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Binning in transverse direction (fy) :</t>
  </si>
  <si>
    <t>Width of Spectrum in Pixels (n) :</t>
  </si>
  <si>
    <t>Nomber of Photons (E) :</t>
  </si>
  <si>
    <t>Final Efficiency (R) :</t>
  </si>
  <si>
    <t>Useful Signal (Nm) :</t>
  </si>
  <si>
    <t>Sky Background Signal (Ns) :</t>
  </si>
  <si>
    <t>Sampling Signal/Noise :</t>
  </si>
  <si>
    <r>
      <t xml:space="preserve">Signal/Noise by interval 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 xml:space="preserve"> :</t>
    </r>
  </si>
  <si>
    <r>
      <t>Total Noise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</si>
  <si>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t>Fraction integrated in Tranverse Axis (k) :</t>
  </si>
  <si>
    <t>Camera</t>
  </si>
  <si>
    <t>Pixel Size (p) :</t>
  </si>
  <si>
    <t>Read-out Noise (RON) :</t>
  </si>
  <si>
    <t>Dark Current (Nd) :</t>
  </si>
  <si>
    <t xml:space="preserve">Slit Transmission </t>
  </si>
  <si>
    <t>Noise from Signal :</t>
  </si>
  <si>
    <t>Noise from Electronics :</t>
  </si>
  <si>
    <t>Sampling Factor :</t>
  </si>
  <si>
    <t>Diffraction Order (k) :</t>
  </si>
  <si>
    <t>Spectrograph Optical Transmission :</t>
  </si>
  <si>
    <t>Number of Sky Bkgd Photons (Ed) :</t>
  </si>
  <si>
    <t>Number of Pixels (Nx) :</t>
  </si>
  <si>
    <t>Exposure Time Calculator Lhires III (août 2006)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</si>
</sst>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0.00000000"/>
    <numFmt numFmtId="187" formatCode="0.000000000"/>
    <numFmt numFmtId="188" formatCode="0.000E+00"/>
  </numFmts>
  <fonts count="12">
    <font>
      <sz val="10"/>
      <name val="Arial"/>
      <family val="0"/>
    </font>
    <font>
      <sz val="10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i/>
      <sz val="8"/>
      <color indexed="22"/>
      <name val="Arial"/>
      <family val="2"/>
    </font>
    <font>
      <sz val="10"/>
      <color indexed="22"/>
      <name val="Arial"/>
      <family val="0"/>
    </font>
    <font>
      <b/>
      <sz val="10"/>
      <color indexed="55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2" fontId="0" fillId="0" borderId="0" xfId="0" applyNumberFormat="1" applyFill="1" applyAlignment="1">
      <alignment/>
    </xf>
    <xf numFmtId="181" fontId="8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" fontId="6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/>
    </xf>
    <xf numFmtId="1" fontId="6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183" fontId="6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right"/>
    </xf>
    <xf numFmtId="188" fontId="0" fillId="0" borderId="8" xfId="0" applyNumberFormat="1" applyBorder="1" applyAlignment="1">
      <alignment/>
    </xf>
    <xf numFmtId="11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30.8515625" style="0" customWidth="1"/>
    <col min="2" max="2" width="12.421875" style="0" bestFit="1" customWidth="1"/>
    <col min="3" max="3" width="7.8515625" style="0" customWidth="1"/>
    <col min="4" max="4" width="29.28125" style="0" customWidth="1"/>
    <col min="5" max="5" width="10.8515625" style="0" customWidth="1"/>
    <col min="6" max="6" width="8.8515625" style="0" customWidth="1"/>
    <col min="7" max="7" width="20.28125" style="0" customWidth="1"/>
  </cols>
  <sheetData>
    <row r="1" spans="1:4" ht="15.75">
      <c r="A1" s="6" t="s">
        <v>148</v>
      </c>
      <c r="D1" s="7"/>
    </row>
    <row r="3" spans="1:7" ht="12.75">
      <c r="A3" s="4" t="s">
        <v>0</v>
      </c>
      <c r="D3" s="4" t="s">
        <v>1</v>
      </c>
      <c r="G3" s="4" t="s">
        <v>84</v>
      </c>
    </row>
    <row r="4" spans="1:9" ht="12.75">
      <c r="A4" s="1" t="s">
        <v>29</v>
      </c>
      <c r="B4" s="3">
        <v>280</v>
      </c>
      <c r="C4" t="s">
        <v>13</v>
      </c>
      <c r="D4" s="1" t="s">
        <v>79</v>
      </c>
      <c r="E4" s="9">
        <v>200</v>
      </c>
      <c r="F4" t="s">
        <v>13</v>
      </c>
      <c r="G4" s="1" t="s">
        <v>9</v>
      </c>
      <c r="H4" s="12">
        <v>9</v>
      </c>
      <c r="I4" t="s">
        <v>20</v>
      </c>
    </row>
    <row r="5" spans="1:8" ht="12.75">
      <c r="A5" s="1" t="s">
        <v>30</v>
      </c>
      <c r="B5" s="3">
        <v>2800</v>
      </c>
      <c r="C5" t="s">
        <v>13</v>
      </c>
      <c r="D5" s="1" t="s">
        <v>2</v>
      </c>
      <c r="E5" s="9">
        <v>2400</v>
      </c>
      <c r="G5" s="1" t="s">
        <v>10</v>
      </c>
      <c r="H5" s="12">
        <v>768</v>
      </c>
    </row>
    <row r="6" spans="1:9" ht="12.75">
      <c r="A6" s="1" t="s">
        <v>31</v>
      </c>
      <c r="B6" s="13">
        <f>B5/B4</f>
        <v>10</v>
      </c>
      <c r="D6" s="1" t="s">
        <v>3</v>
      </c>
      <c r="E6" s="9">
        <v>1</v>
      </c>
      <c r="G6" s="1" t="s">
        <v>57</v>
      </c>
      <c r="H6" s="12">
        <v>70</v>
      </c>
      <c r="I6" t="s">
        <v>37</v>
      </c>
    </row>
    <row r="7" spans="1:9" ht="12.75">
      <c r="A7" s="1" t="s">
        <v>58</v>
      </c>
      <c r="B7" s="3">
        <v>0.33</v>
      </c>
      <c r="D7" s="1" t="s">
        <v>4</v>
      </c>
      <c r="E7" s="9">
        <v>0</v>
      </c>
      <c r="F7" t="s">
        <v>14</v>
      </c>
      <c r="G7" s="1" t="s">
        <v>41</v>
      </c>
      <c r="H7" s="12">
        <v>18</v>
      </c>
      <c r="I7" t="s">
        <v>40</v>
      </c>
    </row>
    <row r="8" spans="1:9" ht="12.75">
      <c r="A8" s="1" t="s">
        <v>35</v>
      </c>
      <c r="B8" s="3">
        <v>0.88</v>
      </c>
      <c r="D8" s="1" t="s">
        <v>6</v>
      </c>
      <c r="E8" s="9">
        <v>6563</v>
      </c>
      <c r="F8" t="s">
        <v>16</v>
      </c>
      <c r="G8" s="1" t="s">
        <v>50</v>
      </c>
      <c r="H8" s="12">
        <v>0.1</v>
      </c>
      <c r="I8" t="s">
        <v>67</v>
      </c>
    </row>
    <row r="9" spans="1:7" ht="12.75">
      <c r="A9" s="1"/>
      <c r="D9" s="1" t="s">
        <v>11</v>
      </c>
      <c r="E9" s="9">
        <v>45</v>
      </c>
      <c r="F9" t="s">
        <v>13</v>
      </c>
      <c r="G9" s="1"/>
    </row>
    <row r="10" spans="1:7" ht="12.75">
      <c r="A10" s="8" t="s">
        <v>59</v>
      </c>
      <c r="D10" s="1" t="s">
        <v>81</v>
      </c>
      <c r="E10" s="9">
        <v>0.96</v>
      </c>
      <c r="G10" s="18" t="s">
        <v>83</v>
      </c>
    </row>
    <row r="11" spans="1:8" ht="12.75">
      <c r="A11" s="1" t="s">
        <v>17</v>
      </c>
      <c r="B11" s="2">
        <v>9</v>
      </c>
      <c r="C11" t="s">
        <v>18</v>
      </c>
      <c r="D11" s="1" t="s">
        <v>80</v>
      </c>
      <c r="E11" s="9">
        <v>0.88</v>
      </c>
      <c r="G11" s="16">
        <v>0</v>
      </c>
      <c r="H11" s="17">
        <v>0</v>
      </c>
    </row>
    <row r="12" spans="1:8" ht="12.75">
      <c r="A12" s="1" t="s">
        <v>34</v>
      </c>
      <c r="B12" s="2">
        <v>0.85</v>
      </c>
      <c r="D12" s="1" t="s">
        <v>71</v>
      </c>
      <c r="E12" s="9">
        <v>0.85</v>
      </c>
      <c r="G12" s="16">
        <v>0.05</v>
      </c>
      <c r="H12" s="17">
        <v>0.05</v>
      </c>
    </row>
    <row r="13" spans="1:8" ht="12.75">
      <c r="A13" s="1" t="s">
        <v>52</v>
      </c>
      <c r="B13" s="2">
        <v>17</v>
      </c>
      <c r="D13" s="1" t="s">
        <v>72</v>
      </c>
      <c r="E13" s="9">
        <v>0.29</v>
      </c>
      <c r="G13" s="17">
        <v>0.1</v>
      </c>
      <c r="H13" s="17">
        <v>0.09</v>
      </c>
    </row>
    <row r="14" spans="1:8" ht="12.75">
      <c r="A14" s="1" t="s">
        <v>38</v>
      </c>
      <c r="B14" s="2">
        <v>3600</v>
      </c>
      <c r="D14" s="1" t="s">
        <v>74</v>
      </c>
      <c r="E14" s="13">
        <f>E10*E11*E12*E13</f>
        <v>0.20824319999999996</v>
      </c>
      <c r="G14" s="17">
        <v>0.15</v>
      </c>
      <c r="H14" s="17">
        <v>0.14</v>
      </c>
    </row>
    <row r="15" spans="1:8" ht="12.75">
      <c r="A15" s="1" t="s">
        <v>51</v>
      </c>
      <c r="B15" s="2">
        <v>12</v>
      </c>
      <c r="D15" s="1" t="s">
        <v>45</v>
      </c>
      <c r="E15" s="9">
        <v>0.025</v>
      </c>
      <c r="F15" t="s">
        <v>13</v>
      </c>
      <c r="G15" s="17">
        <v>0.2</v>
      </c>
      <c r="H15" s="17">
        <v>0.19</v>
      </c>
    </row>
    <row r="16" spans="1:8" ht="12.75">
      <c r="A16" s="1"/>
      <c r="B16" s="5"/>
      <c r="D16" s="1" t="s">
        <v>73</v>
      </c>
      <c r="E16" s="13">
        <f>VLOOKUP(1/(((B11/206265)/E15)*B5),G11:H33,2,TRUE)</f>
        <v>0.19</v>
      </c>
      <c r="F16" s="14"/>
      <c r="G16" s="17">
        <v>0.25</v>
      </c>
      <c r="H16" s="17">
        <v>0.23</v>
      </c>
    </row>
    <row r="17" spans="1:8" ht="12.75">
      <c r="A17" s="4" t="s">
        <v>42</v>
      </c>
      <c r="D17" s="1" t="s">
        <v>75</v>
      </c>
      <c r="E17" s="15">
        <f>E14*E16</f>
        <v>0.03956620799999999</v>
      </c>
      <c r="F17" s="14"/>
      <c r="G17" s="17">
        <v>0.3</v>
      </c>
      <c r="H17" s="17">
        <v>0.28</v>
      </c>
    </row>
    <row r="18" spans="1:8" ht="12.75">
      <c r="A18" s="1" t="s">
        <v>53</v>
      </c>
      <c r="B18" s="11">
        <v>5.9</v>
      </c>
      <c r="D18" s="1"/>
      <c r="E18" s="5"/>
      <c r="G18" s="17">
        <v>0.35</v>
      </c>
      <c r="H18" s="17">
        <v>0.32</v>
      </c>
    </row>
    <row r="19" spans="1:8" ht="12.75">
      <c r="A19" s="1" t="s">
        <v>54</v>
      </c>
      <c r="B19" s="11">
        <v>15000</v>
      </c>
      <c r="C19" t="s">
        <v>55</v>
      </c>
      <c r="D19" s="1" t="s">
        <v>19</v>
      </c>
      <c r="E19" s="9">
        <v>15</v>
      </c>
      <c r="F19" t="s">
        <v>20</v>
      </c>
      <c r="G19" s="17">
        <v>0.4</v>
      </c>
      <c r="H19" s="17">
        <v>0.36</v>
      </c>
    </row>
    <row r="20" spans="1:8" ht="12.75">
      <c r="A20" s="1" t="s">
        <v>56</v>
      </c>
      <c r="B20" s="11">
        <v>-1</v>
      </c>
      <c r="D20" s="1" t="s">
        <v>21</v>
      </c>
      <c r="E20" s="9">
        <v>15</v>
      </c>
      <c r="F20" t="s">
        <v>20</v>
      </c>
      <c r="G20" s="17">
        <v>0.45</v>
      </c>
      <c r="H20" s="17">
        <v>0.4</v>
      </c>
    </row>
    <row r="21" spans="4:8" ht="12.75">
      <c r="D21" s="1"/>
      <c r="E21" s="5"/>
      <c r="G21" s="17">
        <v>0.5</v>
      </c>
      <c r="H21" s="17">
        <v>0.44</v>
      </c>
    </row>
    <row r="22" spans="7:8" ht="12.75">
      <c r="G22" s="17">
        <v>0.6</v>
      </c>
      <c r="H22" s="17">
        <v>0.52</v>
      </c>
    </row>
    <row r="23" spans="1:8" ht="12.75">
      <c r="A23" s="31" t="s">
        <v>61</v>
      </c>
      <c r="B23" s="32"/>
      <c r="C23" s="33"/>
      <c r="D23" s="8" t="s">
        <v>85</v>
      </c>
      <c r="E23" s="5"/>
      <c r="G23" s="17">
        <v>0.7</v>
      </c>
      <c r="H23" s="17">
        <v>0.59</v>
      </c>
    </row>
    <row r="24" spans="1:8" ht="12.75">
      <c r="A24" s="34" t="s">
        <v>65</v>
      </c>
      <c r="B24" s="35">
        <f>B4*E4/B5</f>
        <v>20</v>
      </c>
      <c r="C24" s="36" t="s">
        <v>13</v>
      </c>
      <c r="D24" s="1" t="s">
        <v>36</v>
      </c>
      <c r="E24" s="10">
        <v>1</v>
      </c>
      <c r="G24" s="17">
        <v>0.8</v>
      </c>
      <c r="H24" s="17">
        <v>0.65</v>
      </c>
    </row>
    <row r="25" spans="1:8" ht="12.75">
      <c r="A25" s="34" t="s">
        <v>62</v>
      </c>
      <c r="B25" s="35">
        <f>E4/B24</f>
        <v>10</v>
      </c>
      <c r="C25" s="36"/>
      <c r="D25" s="1" t="s">
        <v>47</v>
      </c>
      <c r="E25" s="10">
        <v>1</v>
      </c>
      <c r="G25" s="17">
        <v>0.9</v>
      </c>
      <c r="H25" s="17">
        <v>0.71</v>
      </c>
    </row>
    <row r="26" spans="1:8" ht="12.75">
      <c r="A26" s="34" t="s">
        <v>5</v>
      </c>
      <c r="B26" s="37">
        <f>DEGREES(ASIN(0.0000001*E6*E5*E8/2/COS(RADIANS(E7/2))))+E7/2</f>
        <v>51.95807080191752</v>
      </c>
      <c r="C26" s="36" t="s">
        <v>14</v>
      </c>
      <c r="D26" s="1" t="s">
        <v>46</v>
      </c>
      <c r="E26" s="10">
        <v>1</v>
      </c>
      <c r="G26" s="17">
        <v>1</v>
      </c>
      <c r="H26" s="17">
        <v>0.76</v>
      </c>
    </row>
    <row r="27" spans="1:8" ht="12.75">
      <c r="A27" s="34" t="s">
        <v>7</v>
      </c>
      <c r="B27" s="37">
        <f>B26-E7</f>
        <v>51.95807080191752</v>
      </c>
      <c r="C27" s="36" t="s">
        <v>14</v>
      </c>
      <c r="D27" s="1" t="s">
        <v>68</v>
      </c>
      <c r="E27" s="10">
        <v>12</v>
      </c>
      <c r="G27" s="17">
        <v>1.1</v>
      </c>
      <c r="H27" s="17">
        <v>0.8</v>
      </c>
    </row>
    <row r="28" spans="1:8" ht="12.75">
      <c r="A28" s="34" t="s">
        <v>63</v>
      </c>
      <c r="B28" s="38">
        <f>B24/COS(RADIANS(B26))</f>
        <v>32.454994159866146</v>
      </c>
      <c r="C28" s="36" t="s">
        <v>13</v>
      </c>
      <c r="G28" s="17">
        <v>1.2</v>
      </c>
      <c r="H28" s="17">
        <v>0.84</v>
      </c>
    </row>
    <row r="29" spans="1:8" ht="12.75">
      <c r="A29" s="34" t="s">
        <v>8</v>
      </c>
      <c r="B29" s="30">
        <f>COS(RADIANS(B26))/COS(RADIANS(B27))</f>
        <v>1</v>
      </c>
      <c r="C29" s="36"/>
      <c r="E29" s="5"/>
      <c r="G29" s="17">
        <v>1.4</v>
      </c>
      <c r="H29" s="17">
        <v>0.9</v>
      </c>
    </row>
    <row r="30" spans="1:8" ht="12.75">
      <c r="A30" s="34" t="s">
        <v>27</v>
      </c>
      <c r="B30" s="38">
        <f>E4/B29/B6</f>
        <v>20</v>
      </c>
      <c r="C30" s="36" t="s">
        <v>13</v>
      </c>
      <c r="G30" s="17">
        <v>1.6</v>
      </c>
      <c r="H30" s="17">
        <v>0.94</v>
      </c>
    </row>
    <row r="31" spans="1:8" ht="12.75">
      <c r="A31" s="34" t="s">
        <v>66</v>
      </c>
      <c r="B31" s="38">
        <f>E4/B29/B6+E9*H4*H5/E4/1000</f>
        <v>21.5552</v>
      </c>
      <c r="C31" s="36" t="s">
        <v>13</v>
      </c>
      <c r="G31" s="17">
        <v>1.8</v>
      </c>
      <c r="H31" s="17">
        <v>0.96</v>
      </c>
    </row>
    <row r="32" spans="1:8" ht="12.75">
      <c r="A32" s="34" t="s">
        <v>64</v>
      </c>
      <c r="B32" s="29">
        <f>E4/B31</f>
        <v>9.27850356294537</v>
      </c>
      <c r="C32" s="36"/>
      <c r="G32" s="17">
        <v>2</v>
      </c>
      <c r="H32" s="17">
        <v>0.98</v>
      </c>
    </row>
    <row r="33" spans="1:8" ht="12.75">
      <c r="A33" s="34"/>
      <c r="B33" s="30"/>
      <c r="C33" s="36"/>
      <c r="G33" s="17">
        <v>10</v>
      </c>
      <c r="H33" s="17">
        <v>1</v>
      </c>
    </row>
    <row r="34" spans="1:7" ht="12.75">
      <c r="A34" s="34" t="s">
        <v>15</v>
      </c>
      <c r="B34" s="39">
        <f>ABS(10000*H4*E25*COS(RADIANS(B27))/E6/E5/E4)</f>
        <v>0.11554462100742727</v>
      </c>
      <c r="C34" s="36" t="s">
        <v>12</v>
      </c>
      <c r="D34" s="43" t="s">
        <v>32</v>
      </c>
      <c r="E34" s="44">
        <f>8.48E+34*POWER(10,-0.4*(B18+B20))/POWER(B19,4)/POWER(E8,4)/(EXP(144000000/B19/E8)-1)</f>
        <v>2.9838100731252646</v>
      </c>
      <c r="F34" s="32" t="s">
        <v>33</v>
      </c>
      <c r="G34" s="33"/>
    </row>
    <row r="35" spans="1:7" ht="12.75">
      <c r="A35" s="34" t="s">
        <v>25</v>
      </c>
      <c r="B35" s="38">
        <f>E8-H5*B34/E25/2</f>
        <v>6518.630865533148</v>
      </c>
      <c r="C35" s="36" t="s">
        <v>16</v>
      </c>
      <c r="D35" s="34" t="s">
        <v>43</v>
      </c>
      <c r="E35" s="45">
        <f>8.48E+34*POWER(10,-0.4*(B20))/POWER(B19,4)/POWER(E8,4)/(EXP(144000000/B19/E8)-1)*POWER(10,-0.4*B13)</f>
        <v>0.0001083355957153753</v>
      </c>
      <c r="F35" s="30" t="s">
        <v>44</v>
      </c>
      <c r="G35" s="36"/>
    </row>
    <row r="36" spans="1:7" ht="12.75">
      <c r="A36" s="34" t="s">
        <v>26</v>
      </c>
      <c r="B36" s="38">
        <f>E8+H5*B34/E25/2</f>
        <v>6607.369134466852</v>
      </c>
      <c r="C36" s="36" t="s">
        <v>16</v>
      </c>
      <c r="D36" s="34" t="s">
        <v>39</v>
      </c>
      <c r="E36" s="46">
        <f>(1-B7*B7)*B12*B8*E17*H6/100</f>
        <v>0.018460799745991675</v>
      </c>
      <c r="F36" s="30"/>
      <c r="G36" s="36"/>
    </row>
    <row r="37" spans="1:7" ht="12.75">
      <c r="A37" s="34" t="s">
        <v>22</v>
      </c>
      <c r="B37" s="35">
        <f>0.0001*E4*E8/(E4/B29/B6)</f>
        <v>6.563</v>
      </c>
      <c r="C37" s="36" t="s">
        <v>20</v>
      </c>
      <c r="D37" s="34" t="s">
        <v>48</v>
      </c>
      <c r="E37" s="47">
        <f>0.25*PI()*E34*E36*B4*B4*B34*E24*B14/100</f>
        <v>14108.468221943633</v>
      </c>
      <c r="F37" s="30" t="s">
        <v>40</v>
      </c>
      <c r="G37" s="36"/>
    </row>
    <row r="38" spans="1:7" ht="12.75">
      <c r="A38" s="34" t="s">
        <v>23</v>
      </c>
      <c r="B38" s="35">
        <f>1000*SQRT(POWER(B29*E4/E4,2)*(POWER(E15,2))+POWER(E19/1000,2))+POWER(E20/1000,2)+POWER(B37/1000,2)+POWER(E25*H4/1000,2)</f>
        <v>29.155108547195507</v>
      </c>
      <c r="C38" s="36" t="s">
        <v>20</v>
      </c>
      <c r="D38" s="34" t="s">
        <v>49</v>
      </c>
      <c r="E38" s="47">
        <f>3.34*10^8*E35*E36*B34*E27*H4/1000*E15*B14*E4/E4/B6/B6</f>
        <v>7.502122497803351</v>
      </c>
      <c r="F38" s="30" t="s">
        <v>40</v>
      </c>
      <c r="G38" s="36"/>
    </row>
    <row r="39" spans="1:7" ht="12.75">
      <c r="A39" s="40" t="s">
        <v>24</v>
      </c>
      <c r="B39" s="41">
        <f>B38/2/H4/E25</f>
        <v>1.6197282526219725</v>
      </c>
      <c r="C39" s="42"/>
      <c r="D39" s="40" t="s">
        <v>78</v>
      </c>
      <c r="E39" s="48">
        <f>SQRT(E37+E38+H8*E27*B14*E25+E27/E26*B15*H7*H7)</f>
        <v>255.1312806075363</v>
      </c>
      <c r="F39" s="49" t="s">
        <v>40</v>
      </c>
      <c r="G39" s="42"/>
    </row>
    <row r="40" ht="13.5" thickBot="1"/>
    <row r="41" spans="1:9" ht="12.75">
      <c r="A41" s="19" t="s">
        <v>28</v>
      </c>
      <c r="B41" s="20">
        <f>IF(B39&lt;1,ABS(1000*B29*E4/2/H4/E25*(TAN(RADIANS(B26))+SIN(RADIANS(B27))/COS(RADIANS(B26)))),ABS(1000*B29*E4/B38*(TAN(RADIANS(B26))+SIN(RADIANS(B27))/COS(RADIANS(B26)))))</f>
        <v>17533.980474926324</v>
      </c>
      <c r="C41" s="21"/>
      <c r="D41" s="22" t="s">
        <v>69</v>
      </c>
      <c r="E41" s="23">
        <f>E37/E39</f>
        <v>55.29885707604168</v>
      </c>
      <c r="G41" s="50" t="s">
        <v>77</v>
      </c>
      <c r="H41" s="51">
        <f>SQRT(E37+E38)</f>
        <v>118.81064912052891</v>
      </c>
      <c r="I41" s="52" t="s">
        <v>40</v>
      </c>
    </row>
    <row r="42" spans="1:9" ht="13.5" thickBot="1">
      <c r="A42" s="24" t="s">
        <v>60</v>
      </c>
      <c r="B42" s="25">
        <f>E8/B41</f>
        <v>0.37430177416845656</v>
      </c>
      <c r="C42" s="26" t="s">
        <v>16</v>
      </c>
      <c r="D42" s="27" t="s">
        <v>70</v>
      </c>
      <c r="E42" s="28">
        <f>SQRT(B42/B34)*E41</f>
        <v>99.52959387595186</v>
      </c>
      <c r="G42" s="50" t="s">
        <v>76</v>
      </c>
      <c r="H42" s="51">
        <f>H7*SQRT(B15*E27)</f>
        <v>216</v>
      </c>
      <c r="I42" s="52" t="s">
        <v>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6" sqref="G6"/>
    </sheetView>
  </sheetViews>
  <sheetFormatPr defaultColWidth="11.421875" defaultRowHeight="12.75"/>
  <cols>
    <col min="1" max="1" width="34.00390625" style="0" customWidth="1"/>
    <col min="2" max="2" width="12.421875" style="0" bestFit="1" customWidth="1"/>
    <col min="3" max="3" width="7.8515625" style="0" customWidth="1"/>
    <col min="4" max="4" width="37.28125" style="0" customWidth="1"/>
    <col min="5" max="5" width="10.8515625" style="0" customWidth="1"/>
    <col min="6" max="6" width="8.8515625" style="0" customWidth="1"/>
    <col min="7" max="7" width="21.57421875" style="0" customWidth="1"/>
  </cols>
  <sheetData>
    <row r="1" spans="1:4" ht="15.75">
      <c r="A1" s="6" t="s">
        <v>82</v>
      </c>
      <c r="D1" s="7"/>
    </row>
    <row r="3" spans="1:7" ht="12.75">
      <c r="A3" s="4" t="s">
        <v>86</v>
      </c>
      <c r="D3" s="4" t="s">
        <v>111</v>
      </c>
      <c r="G3" s="4" t="s">
        <v>136</v>
      </c>
    </row>
    <row r="4" spans="1:9" ht="12.75">
      <c r="A4" s="1" t="s">
        <v>87</v>
      </c>
      <c r="B4" s="3">
        <v>280</v>
      </c>
      <c r="C4" t="s">
        <v>13</v>
      </c>
      <c r="D4" s="1" t="s">
        <v>112</v>
      </c>
      <c r="E4" s="9">
        <v>200</v>
      </c>
      <c r="F4" t="s">
        <v>13</v>
      </c>
      <c r="G4" s="1" t="s">
        <v>137</v>
      </c>
      <c r="H4" s="12">
        <v>9</v>
      </c>
      <c r="I4" t="s">
        <v>20</v>
      </c>
    </row>
    <row r="5" spans="1:8" ht="12.75">
      <c r="A5" s="1" t="s">
        <v>88</v>
      </c>
      <c r="B5" s="3">
        <v>2800</v>
      </c>
      <c r="C5" t="s">
        <v>13</v>
      </c>
      <c r="D5" s="1" t="s">
        <v>113</v>
      </c>
      <c r="E5" s="9">
        <v>2400</v>
      </c>
      <c r="G5" s="1" t="s">
        <v>147</v>
      </c>
      <c r="H5" s="12">
        <v>768</v>
      </c>
    </row>
    <row r="6" spans="1:9" ht="12.75">
      <c r="A6" s="1" t="s">
        <v>91</v>
      </c>
      <c r="B6" s="13">
        <f>B5/B4</f>
        <v>10</v>
      </c>
      <c r="D6" s="1" t="s">
        <v>144</v>
      </c>
      <c r="E6" s="9">
        <v>1</v>
      </c>
      <c r="G6" s="1" t="s">
        <v>57</v>
      </c>
      <c r="H6" s="12">
        <v>54</v>
      </c>
      <c r="I6" t="s">
        <v>37</v>
      </c>
    </row>
    <row r="7" spans="1:9" ht="12.75">
      <c r="A7" s="1" t="s">
        <v>89</v>
      </c>
      <c r="B7" s="3">
        <v>0.33</v>
      </c>
      <c r="D7" s="1" t="s">
        <v>114</v>
      </c>
      <c r="E7" s="9">
        <v>0</v>
      </c>
      <c r="F7" t="s">
        <v>14</v>
      </c>
      <c r="G7" s="1" t="s">
        <v>138</v>
      </c>
      <c r="H7" s="12">
        <v>18</v>
      </c>
      <c r="I7" t="s">
        <v>40</v>
      </c>
    </row>
    <row r="8" spans="1:9" ht="12.75">
      <c r="A8" s="1" t="s">
        <v>90</v>
      </c>
      <c r="B8" s="3">
        <v>0.92</v>
      </c>
      <c r="D8" s="1" t="s">
        <v>115</v>
      </c>
      <c r="E8" s="9">
        <v>6563</v>
      </c>
      <c r="F8" t="s">
        <v>16</v>
      </c>
      <c r="G8" s="1" t="s">
        <v>139</v>
      </c>
      <c r="H8" s="12">
        <v>0.1</v>
      </c>
      <c r="I8" t="s">
        <v>67</v>
      </c>
    </row>
    <row r="9" spans="1:7" ht="12.75">
      <c r="A9" s="1"/>
      <c r="D9" s="1" t="s">
        <v>116</v>
      </c>
      <c r="E9" s="9">
        <v>45</v>
      </c>
      <c r="F9" t="s">
        <v>13</v>
      </c>
      <c r="G9" s="1"/>
    </row>
    <row r="10" spans="1:7" ht="12.75">
      <c r="A10" s="8" t="s">
        <v>59</v>
      </c>
      <c r="D10" s="1" t="s">
        <v>117</v>
      </c>
      <c r="E10" s="9">
        <v>0.96</v>
      </c>
      <c r="G10" s="18" t="s">
        <v>140</v>
      </c>
    </row>
    <row r="11" spans="1:8" ht="12.75">
      <c r="A11" s="1" t="s">
        <v>17</v>
      </c>
      <c r="B11" s="2">
        <v>4</v>
      </c>
      <c r="C11" t="s">
        <v>18</v>
      </c>
      <c r="D11" s="1" t="s">
        <v>118</v>
      </c>
      <c r="E11" s="9">
        <v>0.9</v>
      </c>
      <c r="G11" s="16">
        <v>0</v>
      </c>
      <c r="H11" s="17">
        <v>0</v>
      </c>
    </row>
    <row r="12" spans="1:8" ht="12.75">
      <c r="A12" s="1" t="s">
        <v>92</v>
      </c>
      <c r="B12" s="2">
        <v>0.8</v>
      </c>
      <c r="D12" s="1" t="s">
        <v>119</v>
      </c>
      <c r="E12" s="9">
        <v>0.85</v>
      </c>
      <c r="G12" s="16">
        <v>0.05</v>
      </c>
      <c r="H12" s="17">
        <v>0.05</v>
      </c>
    </row>
    <row r="13" spans="1:8" ht="12.75">
      <c r="A13" s="1" t="s">
        <v>93</v>
      </c>
      <c r="B13" s="2">
        <v>17</v>
      </c>
      <c r="D13" s="1" t="s">
        <v>120</v>
      </c>
      <c r="E13" s="9">
        <v>0.2</v>
      </c>
      <c r="G13" s="17">
        <v>0.1</v>
      </c>
      <c r="H13" s="17">
        <v>0.09</v>
      </c>
    </row>
    <row r="14" spans="1:8" ht="12.75">
      <c r="A14" s="1" t="s">
        <v>94</v>
      </c>
      <c r="B14" s="2">
        <v>3600</v>
      </c>
      <c r="D14" s="1" t="s">
        <v>145</v>
      </c>
      <c r="E14" s="13">
        <f>E10*E11*E12*E13</f>
        <v>0.14687999999999998</v>
      </c>
      <c r="G14" s="17">
        <v>0.15</v>
      </c>
      <c r="H14" s="17">
        <v>0.14</v>
      </c>
    </row>
    <row r="15" spans="1:8" ht="12.75">
      <c r="A15" s="1" t="s">
        <v>95</v>
      </c>
      <c r="B15" s="2">
        <v>12</v>
      </c>
      <c r="D15" s="1" t="s">
        <v>121</v>
      </c>
      <c r="E15" s="9">
        <v>0.025</v>
      </c>
      <c r="F15" t="s">
        <v>13</v>
      </c>
      <c r="G15" s="17">
        <v>0.2</v>
      </c>
      <c r="H15" s="17">
        <v>0.19</v>
      </c>
    </row>
    <row r="16" spans="1:8" ht="12.75">
      <c r="A16" s="1"/>
      <c r="B16" s="5"/>
      <c r="D16" s="1" t="s">
        <v>122</v>
      </c>
      <c r="E16" s="13">
        <f>VLOOKUP(1/(((B11/206265)/E15)*B5),G11:H33,2,TRUE)</f>
        <v>0.4</v>
      </c>
      <c r="F16" s="14"/>
      <c r="G16" s="17">
        <v>0.25</v>
      </c>
      <c r="H16" s="17">
        <v>0.23</v>
      </c>
    </row>
    <row r="17" spans="1:8" ht="12.75">
      <c r="A17" s="4" t="s">
        <v>96</v>
      </c>
      <c r="D17" s="1" t="s">
        <v>123</v>
      </c>
      <c r="E17" s="15">
        <f>E14*E16</f>
        <v>0.058752</v>
      </c>
      <c r="F17" s="14"/>
      <c r="G17" s="17">
        <v>0.3</v>
      </c>
      <c r="H17" s="17">
        <v>0.28</v>
      </c>
    </row>
    <row r="18" spans="1:8" ht="12.75">
      <c r="A18" s="1" t="s">
        <v>53</v>
      </c>
      <c r="B18" s="11">
        <v>6.2</v>
      </c>
      <c r="D18" s="1"/>
      <c r="E18" s="5"/>
      <c r="G18" s="17">
        <v>0.35</v>
      </c>
      <c r="H18" s="17">
        <v>0.32</v>
      </c>
    </row>
    <row r="19" spans="1:8" ht="12.75">
      <c r="A19" s="1" t="s">
        <v>97</v>
      </c>
      <c r="B19" s="11">
        <v>30000</v>
      </c>
      <c r="C19" t="s">
        <v>55</v>
      </c>
      <c r="D19" s="1" t="s">
        <v>19</v>
      </c>
      <c r="E19" s="9">
        <v>15</v>
      </c>
      <c r="F19" t="s">
        <v>20</v>
      </c>
      <c r="G19" s="17">
        <v>0.4</v>
      </c>
      <c r="H19" s="17">
        <v>0.36</v>
      </c>
    </row>
    <row r="20" spans="1:8" ht="12.75">
      <c r="A20" s="1" t="s">
        <v>98</v>
      </c>
      <c r="B20" s="11">
        <v>-3</v>
      </c>
      <c r="D20" s="1" t="s">
        <v>21</v>
      </c>
      <c r="E20" s="9">
        <v>15</v>
      </c>
      <c r="F20" t="s">
        <v>20</v>
      </c>
      <c r="G20" s="17">
        <v>0.45</v>
      </c>
      <c r="H20" s="17">
        <v>0.4</v>
      </c>
    </row>
    <row r="21" spans="4:8" ht="12.75">
      <c r="D21" s="1"/>
      <c r="E21" s="5"/>
      <c r="G21" s="17">
        <v>0.5</v>
      </c>
      <c r="H21" s="17">
        <v>0.44</v>
      </c>
    </row>
    <row r="22" spans="7:8" ht="12.75">
      <c r="G22" s="17">
        <v>0.6</v>
      </c>
      <c r="H22" s="17">
        <v>0.52</v>
      </c>
    </row>
    <row r="23" spans="1:8" ht="12.75">
      <c r="A23" s="31" t="s">
        <v>99</v>
      </c>
      <c r="B23" s="32"/>
      <c r="C23" s="33"/>
      <c r="D23" s="8" t="s">
        <v>124</v>
      </c>
      <c r="E23" s="5"/>
      <c r="G23" s="17">
        <v>0.7</v>
      </c>
      <c r="H23" s="17">
        <v>0.59</v>
      </c>
    </row>
    <row r="24" spans="1:8" ht="12.75">
      <c r="A24" s="34" t="s">
        <v>100</v>
      </c>
      <c r="B24" s="35">
        <f>B4*E4/B5</f>
        <v>20</v>
      </c>
      <c r="C24" s="36" t="s">
        <v>13</v>
      </c>
      <c r="D24" s="1" t="s">
        <v>135</v>
      </c>
      <c r="E24" s="10">
        <v>1</v>
      </c>
      <c r="G24" s="17">
        <v>0.8</v>
      </c>
      <c r="H24" s="17">
        <v>0.65</v>
      </c>
    </row>
    <row r="25" spans="1:8" ht="12.75">
      <c r="A25" s="34" t="s">
        <v>101</v>
      </c>
      <c r="B25" s="35">
        <f>E4/B24</f>
        <v>10</v>
      </c>
      <c r="C25" s="36"/>
      <c r="D25" s="1" t="s">
        <v>125</v>
      </c>
      <c r="E25" s="10">
        <v>1</v>
      </c>
      <c r="G25" s="17">
        <v>0.9</v>
      </c>
      <c r="H25" s="17">
        <v>0.71</v>
      </c>
    </row>
    <row r="26" spans="1:8" ht="12.75">
      <c r="A26" s="34" t="s">
        <v>102</v>
      </c>
      <c r="B26" s="37">
        <f>DEGREES(ASIN(0.0000001*E6*E5*E8/2/COS(RADIANS(E7/2))))+E7/2</f>
        <v>51.95807080191752</v>
      </c>
      <c r="C26" s="36" t="s">
        <v>14</v>
      </c>
      <c r="D26" s="1" t="s">
        <v>126</v>
      </c>
      <c r="E26" s="10">
        <v>1</v>
      </c>
      <c r="G26" s="17">
        <v>1</v>
      </c>
      <c r="H26" s="17">
        <v>0.76</v>
      </c>
    </row>
    <row r="27" spans="1:8" ht="12.75">
      <c r="A27" s="34" t="s">
        <v>103</v>
      </c>
      <c r="B27" s="37">
        <f>B26-E7</f>
        <v>51.95807080191752</v>
      </c>
      <c r="C27" s="36" t="s">
        <v>14</v>
      </c>
      <c r="D27" s="1" t="s">
        <v>127</v>
      </c>
      <c r="E27" s="10">
        <v>12</v>
      </c>
      <c r="G27" s="17">
        <v>1.1</v>
      </c>
      <c r="H27" s="17">
        <v>0.8</v>
      </c>
    </row>
    <row r="28" spans="1:8" ht="12.75">
      <c r="A28" s="34" t="s">
        <v>104</v>
      </c>
      <c r="B28" s="38">
        <f>B24/COS(RADIANS(B26))</f>
        <v>32.454994159866146</v>
      </c>
      <c r="C28" s="36" t="s">
        <v>13</v>
      </c>
      <c r="G28" s="17">
        <v>1.2</v>
      </c>
      <c r="H28" s="17">
        <v>0.84</v>
      </c>
    </row>
    <row r="29" spans="1:8" ht="12.75">
      <c r="A29" s="34" t="s">
        <v>105</v>
      </c>
      <c r="B29" s="30">
        <f>COS(RADIANS(B26))/COS(RADIANS(B27))</f>
        <v>1</v>
      </c>
      <c r="C29" s="36"/>
      <c r="E29" s="5"/>
      <c r="G29" s="17">
        <v>1.4</v>
      </c>
      <c r="H29" s="17">
        <v>0.9</v>
      </c>
    </row>
    <row r="30" spans="1:8" ht="12.75">
      <c r="A30" s="34" t="s">
        <v>106</v>
      </c>
      <c r="B30" s="38">
        <f>E4/B29/B6</f>
        <v>20</v>
      </c>
      <c r="C30" s="36" t="s">
        <v>13</v>
      </c>
      <c r="G30" s="17">
        <v>1.6</v>
      </c>
      <c r="H30" s="17">
        <v>0.94</v>
      </c>
    </row>
    <row r="31" spans="1:8" ht="12.75">
      <c r="A31" s="34" t="s">
        <v>107</v>
      </c>
      <c r="B31" s="38">
        <f>E4/B29/B6+E9*H4*H5/E4/1000</f>
        <v>21.5552</v>
      </c>
      <c r="C31" s="36" t="s">
        <v>13</v>
      </c>
      <c r="G31" s="17">
        <v>1.8</v>
      </c>
      <c r="H31" s="17">
        <v>0.96</v>
      </c>
    </row>
    <row r="32" spans="1:8" ht="12.75">
      <c r="A32" s="34" t="s">
        <v>108</v>
      </c>
      <c r="B32" s="29">
        <f>E4/B31</f>
        <v>9.27850356294537</v>
      </c>
      <c r="C32" s="36"/>
      <c r="G32" s="17">
        <v>2</v>
      </c>
      <c r="H32" s="17">
        <v>0.98</v>
      </c>
    </row>
    <row r="33" spans="1:8" ht="12.75">
      <c r="A33" s="34"/>
      <c r="B33" s="30"/>
      <c r="C33" s="36"/>
      <c r="G33" s="17">
        <v>10</v>
      </c>
      <c r="H33" s="17">
        <v>1</v>
      </c>
    </row>
    <row r="34" spans="1:7" ht="12.75">
      <c r="A34" s="34" t="s">
        <v>15</v>
      </c>
      <c r="B34" s="39">
        <f>ABS(10000*H4*E25*COS(RADIANS(B27))/E6/E5/E4)</f>
        <v>0.11554462100742727</v>
      </c>
      <c r="C34" s="36" t="s">
        <v>12</v>
      </c>
      <c r="D34" s="43" t="s">
        <v>128</v>
      </c>
      <c r="E34" s="44">
        <f>8.48E+34*POWER(10,-0.4*(B18+B20))/POWER(B19,4)/POWER(E8,4)/(EXP(144000000/B19/E8)-1)</f>
        <v>2.7473255175176616</v>
      </c>
      <c r="F34" s="32" t="s">
        <v>33</v>
      </c>
      <c r="G34" s="33"/>
    </row>
    <row r="35" spans="1:7" ht="12.75">
      <c r="A35" s="34" t="s">
        <v>25</v>
      </c>
      <c r="B35" s="38">
        <f>E8-H5*B34/E25/2</f>
        <v>6518.630865533148</v>
      </c>
      <c r="C35" s="36" t="s">
        <v>16</v>
      </c>
      <c r="D35" s="34" t="s">
        <v>146</v>
      </c>
      <c r="E35" s="45">
        <f>8.48E+34*POWER(10,-0.4*(B20))/POWER(B19,4)/POWER(E8,4)/(EXP(144000000/B19/E8)-1)*POWER(10,-0.4*B13)</f>
        <v>0.0001314952666089817</v>
      </c>
      <c r="F35" s="30" t="s">
        <v>44</v>
      </c>
      <c r="G35" s="36"/>
    </row>
    <row r="36" spans="1:7" ht="12.75">
      <c r="A36" s="34" t="s">
        <v>26</v>
      </c>
      <c r="B36" s="38">
        <f>E8+H5*B34/E25/2</f>
        <v>6607.369134466852</v>
      </c>
      <c r="C36" s="36" t="s">
        <v>16</v>
      </c>
      <c r="D36" s="34" t="s">
        <v>129</v>
      </c>
      <c r="E36" s="46">
        <f>(1-B7*B7)*B12*B8*E17*H6/100</f>
        <v>0.020807536877568006</v>
      </c>
      <c r="F36" s="30"/>
      <c r="G36" s="36"/>
    </row>
    <row r="37" spans="1:7" ht="12.75">
      <c r="A37" s="34" t="s">
        <v>22</v>
      </c>
      <c r="B37" s="35">
        <f>0.0001*E4*E8/(E4/B29/B6)</f>
        <v>6.563</v>
      </c>
      <c r="C37" s="36" t="s">
        <v>20</v>
      </c>
      <c r="D37" s="34" t="s">
        <v>130</v>
      </c>
      <c r="E37" s="47">
        <f>0.25*PI()*E34*E36*B4*B4*B34*E24*B14/100</f>
        <v>14641.614570622613</v>
      </c>
      <c r="F37" s="30" t="s">
        <v>40</v>
      </c>
      <c r="G37" s="36"/>
    </row>
    <row r="38" spans="1:7" ht="12.75">
      <c r="A38" s="34" t="s">
        <v>23</v>
      </c>
      <c r="B38" s="35">
        <f>1000*SQRT(POWER(B29*E4/E4,2)*(POWER(E15,2))+POWER(E19/1000,2))+POWER(E20/1000,2)+POWER(B37/1000,2)+POWER(E25*H4/1000,2)</f>
        <v>29.155108547195507</v>
      </c>
      <c r="C38" s="36" t="s">
        <v>20</v>
      </c>
      <c r="D38" s="34" t="s">
        <v>131</v>
      </c>
      <c r="E38" s="47">
        <f>3.34*10^8*E35*E36*B34*E27*H4/1000*E15*B14*E4/E4/B6/B6</f>
        <v>10.263447310453568</v>
      </c>
      <c r="F38" s="30" t="s">
        <v>40</v>
      </c>
      <c r="G38" s="36"/>
    </row>
    <row r="39" spans="1:7" ht="12.75">
      <c r="A39" s="40" t="s">
        <v>143</v>
      </c>
      <c r="B39" s="41">
        <f>B38/2/H4/E25</f>
        <v>1.6197282526219725</v>
      </c>
      <c r="C39" s="42"/>
      <c r="D39" s="40" t="s">
        <v>134</v>
      </c>
      <c r="E39" s="48">
        <f>SQRT(E37+E38+H8*E27*B14*E25+E27/E26*B15*H7*H7)</f>
        <v>256.1793864032254</v>
      </c>
      <c r="F39" s="49" t="s">
        <v>40</v>
      </c>
      <c r="G39" s="42"/>
    </row>
    <row r="40" ht="13.5" thickBot="1"/>
    <row r="41" spans="1:9" ht="12.75">
      <c r="A41" s="19" t="s">
        <v>109</v>
      </c>
      <c r="B41" s="20">
        <f>IF(B39&lt;1,ABS(1000*B29*E4/2/H4/E25*(TAN(RADIANS(B26))+SIN(RADIANS(B27))/COS(RADIANS(B26)))),ABS(1000*B29*E4/B38*(TAN(RADIANS(B26))+SIN(RADIANS(B27))/COS(RADIANS(B26)))))</f>
        <v>17533.980474926324</v>
      </c>
      <c r="C41" s="21"/>
      <c r="D41" s="22" t="s">
        <v>132</v>
      </c>
      <c r="E41" s="23">
        <f>E37/E39</f>
        <v>57.153757670325454</v>
      </c>
      <c r="G41" s="50" t="s">
        <v>141</v>
      </c>
      <c r="H41" s="51">
        <f>SQRT(E37+E38)</f>
        <v>121.04494214106208</v>
      </c>
      <c r="I41" s="52" t="s">
        <v>40</v>
      </c>
    </row>
    <row r="42" spans="1:9" ht="13.5" thickBot="1">
      <c r="A42" s="24" t="s">
        <v>110</v>
      </c>
      <c r="B42" s="25">
        <f>E8/B41</f>
        <v>0.37430177416845656</v>
      </c>
      <c r="C42" s="26" t="s">
        <v>16</v>
      </c>
      <c r="D42" s="27" t="s">
        <v>133</v>
      </c>
      <c r="E42" s="28">
        <f>SQRT(B42/B34)*E41</f>
        <v>102.86813489815522</v>
      </c>
      <c r="G42" s="50" t="s">
        <v>142</v>
      </c>
      <c r="H42" s="51">
        <f>H7*SQRT(B15*E27)</f>
        <v>216</v>
      </c>
      <c r="I42" s="52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Altair</cp:lastModifiedBy>
  <dcterms:created xsi:type="dcterms:W3CDTF">2003-03-05T12:36:55Z</dcterms:created>
  <dcterms:modified xsi:type="dcterms:W3CDTF">2006-08-15T18:03:17Z</dcterms:modified>
  <cp:category/>
  <cp:version/>
  <cp:contentType/>
  <cp:contentStatus/>
</cp:coreProperties>
</file>