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0" yWindow="15" windowWidth="14895" windowHeight="9900" activeTab="0"/>
  </bookViews>
  <sheets>
    <sheet name="Interface" sheetId="1" r:id="rId1"/>
    <sheet name="Calcul" sheetId="2" r:id="rId2"/>
    <sheet name="Simulation" sheetId="3" r:id="rId3"/>
    <sheet name="Données" sheetId="4" state="hidden" r:id="rId4"/>
  </sheets>
  <definedNames>
    <definedName name="_xlnm._FilterDatabase" localSheetId="3" hidden="1">'Données'!$D$1:$E$113</definedName>
    <definedName name="ADObj">'Interface'!A19</definedName>
    <definedName name="année">'Données'!$I$120</definedName>
    <definedName name="Azimut">'Interface'!$E$22</definedName>
    <definedName name="AZpointee">'Données'!$J$131</definedName>
    <definedName name="Constell">'Données'!$L$131</definedName>
    <definedName name="Constellations">'Données'!$A$115:$C$149</definedName>
    <definedName name="CoordAltAZ">'Données'!$N$1:$O$111</definedName>
    <definedName name="DateObs">'Interface'!$C$4</definedName>
    <definedName name="DDEC">'Données'!$I$124</definedName>
    <definedName name="DécalageTUMEM">'Données'!$N$116</definedName>
    <definedName name="DecObj">'Interface'!$E$20</definedName>
    <definedName name="HAD">'Données'!$I$122</definedName>
    <definedName name="Hauteur">'Interface'!$C$22</definedName>
    <definedName name="Heure">'Données'!$N$118</definedName>
    <definedName name="heure2">'Données'!$O$118</definedName>
    <definedName name="Hpointee">'Données'!$K$131</definedName>
    <definedName name="jour">'Données'!$I$118</definedName>
    <definedName name="jour2">'Données'!$J$118</definedName>
    <definedName name="LatDeg">'Données'!$Q$122</definedName>
    <definedName name="Latitude">'Données'!$Q$115</definedName>
    <definedName name="LatMin">'Données'!$Q$123</definedName>
    <definedName name="LatOrient">'Données'!$Q$125</definedName>
    <definedName name="LatSec">'Données'!$Q$124</definedName>
    <definedName name="LeverSoleil">'Interface'!$H$3</definedName>
    <definedName name="LongiDeg">'Données'!$Q$118</definedName>
    <definedName name="LongiMin">'Données'!$Q$119</definedName>
    <definedName name="LongiOrient">'Données'!$Q$121</definedName>
    <definedName name="LongiSec">'Données'!$Q$120</definedName>
    <definedName name="Longitude">'Données'!$Q$116</definedName>
    <definedName name="MAD">'Données'!$I$123</definedName>
    <definedName name="MDEC">'Données'!$I$125</definedName>
    <definedName name="Min">'Données'!$N$119</definedName>
    <definedName name="mois">'Données'!$I$119</definedName>
    <definedName name="OBJ_10">'Données'!$I$132</definedName>
    <definedName name="obj_constellation">'Données'!$I$134</definedName>
    <definedName name="RdR">'Données'!$I$133</definedName>
    <definedName name="Ref">'Données'!$J$128</definedName>
    <definedName name="Sec">'Données'!$N$120</definedName>
    <definedName name="testvaleur">'Interface'!$J$1</definedName>
    <definedName name="Z_FD42343D_3961_4CCA_9B9F_D46B9E9CC12C_.wvu.FilterData" localSheetId="3" hidden="1">'Données'!$D$1:$E$111</definedName>
  </definedNames>
  <calcPr fullCalcOnLoad="1"/>
</workbook>
</file>

<file path=xl/comments4.xml><?xml version="1.0" encoding="utf-8"?>
<comments xmlns="http://schemas.openxmlformats.org/spreadsheetml/2006/main">
  <authors>
    <author>Fr?d?ric GUINEPAIN</author>
  </authors>
  <commentList>
    <comment ref="D1" authorId="0">
      <text>
        <r>
          <rPr>
            <b/>
            <sz val="8"/>
            <rFont val="Tahoma"/>
            <family val="0"/>
          </rPr>
          <t xml:space="preserve">Légende :
</t>
        </r>
        <r>
          <rPr>
            <sz val="8"/>
            <rFont val="Tahoma"/>
            <family val="0"/>
          </rPr>
          <t xml:space="preserve">
SNR : Star Nebular Remanent
GlCm : Globular Cluster - Amas Globulaire
OpCl : Open Cluster - Amas Ouvert
DifN : Diffuse Nebular - Nébuleuse Diffuse
Pl N : Planetar Nebular - Nébuleuse Planétaire
Sp G : Spirale Galaxy - Galaxie Spirale
El G : Elliptic Galaxy - Galaxie Elliptique
Ir G : Irregular Galaxy - Galaxie Irrégulière
</t>
        </r>
      </text>
    </comment>
  </commentList>
</comments>
</file>

<file path=xl/sharedStrings.xml><?xml version="1.0" encoding="utf-8"?>
<sst xmlns="http://schemas.openxmlformats.org/spreadsheetml/2006/main" count="621" uniqueCount="313">
  <si>
    <t xml:space="preserve">M7 M8 M16 M17 M18 M20 M21 M23 M24 M25 M26 M28 M54 M69 M70 </t>
  </si>
  <si>
    <t xml:space="preserve">M8 M17 M18 M20 M21 M22 M23 M24 M25 M28 M54 M55 M69 M70 M75 </t>
  </si>
  <si>
    <t>20 - 45</t>
  </si>
  <si>
    <t>&lt;0</t>
  </si>
  <si>
    <t>0 - 20</t>
  </si>
  <si>
    <t>SNR</t>
  </si>
  <si>
    <t>Tau</t>
  </si>
  <si>
    <t>6x4</t>
  </si>
  <si>
    <t>Crab Nebula</t>
  </si>
  <si>
    <t>GlCl</t>
  </si>
  <si>
    <t>Aqr</t>
  </si>
  <si>
    <t>CVn</t>
  </si>
  <si>
    <t>Sco</t>
  </si>
  <si>
    <t>OpCl</t>
  </si>
  <si>
    <t>Butterfly Cluster</t>
  </si>
  <si>
    <t>The Scorpion's Tail, Ptol</t>
  </si>
  <si>
    <t>DifN</t>
  </si>
  <si>
    <t>Sgr</t>
  </si>
  <si>
    <t>90x40</t>
  </si>
  <si>
    <t>Lagoon Nebula</t>
  </si>
  <si>
    <t>Oph</t>
  </si>
  <si>
    <t>Sct</t>
  </si>
  <si>
    <t>Wild Duck Cluster</t>
  </si>
  <si>
    <t>Her</t>
  </si>
  <si>
    <t>Hercules Globular Cluster</t>
  </si>
  <si>
    <t>Peg</t>
  </si>
  <si>
    <t>Omega, Swan, Horseshoe,</t>
  </si>
  <si>
    <t>Trifid Nebula</t>
  </si>
  <si>
    <t>MWP</t>
  </si>
  <si>
    <t>Sagittarius Star Cloud,</t>
  </si>
  <si>
    <t>I4725</t>
  </si>
  <si>
    <t>Pl N</t>
  </si>
  <si>
    <t>Vul</t>
  </si>
  <si>
    <t>8.0x5.</t>
  </si>
  <si>
    <t>7   1.25</t>
  </si>
  <si>
    <t>Dumbbell Nebula</t>
  </si>
  <si>
    <t>Cyg</t>
  </si>
  <si>
    <t>Cap</t>
  </si>
  <si>
    <t>Sp G</t>
  </si>
  <si>
    <t>And</t>
  </si>
  <si>
    <t>178x6</t>
  </si>
  <si>
    <t>3   2900</t>
  </si>
  <si>
    <t>Andromeda Galaxy</t>
  </si>
  <si>
    <t>El G</t>
  </si>
  <si>
    <t>8x6</t>
  </si>
  <si>
    <t>A Satellite of the Andr</t>
  </si>
  <si>
    <t>Tri</t>
  </si>
  <si>
    <t>73x45</t>
  </si>
  <si>
    <t>Triangulum Galaxy</t>
  </si>
  <si>
    <t>Per</t>
  </si>
  <si>
    <t>Gem</t>
  </si>
  <si>
    <t>Aur</t>
  </si>
  <si>
    <t>2 St</t>
  </si>
  <si>
    <t>UMa</t>
  </si>
  <si>
    <t>Winnecke 4</t>
  </si>
  <si>
    <t>CMa</t>
  </si>
  <si>
    <t>Ori</t>
  </si>
  <si>
    <t>85x60</t>
  </si>
  <si>
    <t>Orion Nebula</t>
  </si>
  <si>
    <t>20x15</t>
  </si>
  <si>
    <t>De Mairan's Nebula, part</t>
  </si>
  <si>
    <t>Cnc</t>
  </si>
  <si>
    <t>Beehive Cluster, Praesepe</t>
  </si>
  <si>
    <t>Pleiades</t>
  </si>
  <si>
    <t>Pup</t>
  </si>
  <si>
    <t>Hya</t>
  </si>
  <si>
    <t>Vir</t>
  </si>
  <si>
    <t>9x7.5</t>
  </si>
  <si>
    <t>Mon</t>
  </si>
  <si>
    <t>11x7</t>
  </si>
  <si>
    <t>Whirlpool Galaxy</t>
  </si>
  <si>
    <t>Cas</t>
  </si>
  <si>
    <t>Com</t>
  </si>
  <si>
    <t>Lyr</t>
  </si>
  <si>
    <t>1.4x1.</t>
  </si>
  <si>
    <t>0    4.1</t>
  </si>
  <si>
    <t>Ring Nebula</t>
  </si>
  <si>
    <t>5.5x4.</t>
  </si>
  <si>
    <t>5  60000</t>
  </si>
  <si>
    <t>5x3.5</t>
  </si>
  <si>
    <t>7x6</t>
  </si>
  <si>
    <t>6x5.5</t>
  </si>
  <si>
    <t>10x6</t>
  </si>
  <si>
    <t>Sunflower Galaxy</t>
  </si>
  <si>
    <t>9.3x5.</t>
  </si>
  <si>
    <t>4  19000</t>
  </si>
  <si>
    <t>Blackeye Galaxy</t>
  </si>
  <si>
    <t>Leo</t>
  </si>
  <si>
    <t>8x1.5</t>
  </si>
  <si>
    <t>8x2.5</t>
  </si>
  <si>
    <t>Sge</t>
  </si>
  <si>
    <t>4 St</t>
  </si>
  <si>
    <t>Psc</t>
  </si>
  <si>
    <t>10.2x9</t>
  </si>
  <si>
    <t>.5 35000</t>
  </si>
  <si>
    <t>2.7x1.</t>
  </si>
  <si>
    <t>8    3.4</t>
  </si>
  <si>
    <t>Little Dumbbell Nebula</t>
  </si>
  <si>
    <t>Cet</t>
  </si>
  <si>
    <t>Cetus A</t>
  </si>
  <si>
    <t>Lep</t>
  </si>
  <si>
    <t>21x10</t>
  </si>
  <si>
    <t>Bode's Galaxy</t>
  </si>
  <si>
    <t>IrrG</t>
  </si>
  <si>
    <t>9x4</t>
  </si>
  <si>
    <t>Cigar Galaxy</t>
  </si>
  <si>
    <t>11x10</t>
  </si>
  <si>
    <t>Southern Pinwheel</t>
  </si>
  <si>
    <t>S0 G</t>
  </si>
  <si>
    <t>7.1x5.</t>
  </si>
  <si>
    <t>2  60000</t>
  </si>
  <si>
    <t>7.5x5.</t>
  </si>
  <si>
    <t>Virgo A</t>
  </si>
  <si>
    <t>7x4</t>
  </si>
  <si>
    <t>9.5x4.</t>
  </si>
  <si>
    <t>5.4x4.</t>
  </si>
  <si>
    <t>4  60000</t>
  </si>
  <si>
    <t>7x3</t>
  </si>
  <si>
    <t>4.4x3.</t>
  </si>
  <si>
    <t>3  38000</t>
  </si>
  <si>
    <t>3.4x3.</t>
  </si>
  <si>
    <t>3    2.6</t>
  </si>
  <si>
    <t>Owl Nebula</t>
  </si>
  <si>
    <t>9.5x3.</t>
  </si>
  <si>
    <t>8  60000</t>
  </si>
  <si>
    <t>Pinwheel Galaxy</t>
  </si>
  <si>
    <t>may duplicate M101</t>
  </si>
  <si>
    <t>Dra</t>
  </si>
  <si>
    <t>5.2x2.</t>
  </si>
  <si>
    <t>3  40000</t>
  </si>
  <si>
    <t>Spindle Galaxy</t>
  </si>
  <si>
    <t>Sombrero Galaxy</t>
  </si>
  <si>
    <t>19x8</t>
  </si>
  <si>
    <t>8x1</t>
  </si>
  <si>
    <t>17x10</t>
  </si>
  <si>
    <t>Ref Messier</t>
  </si>
  <si>
    <t>NGC</t>
  </si>
  <si>
    <t>Type</t>
  </si>
  <si>
    <t>Constellation</t>
  </si>
  <si>
    <t>AD</t>
  </si>
  <si>
    <t>DEC</t>
  </si>
  <si>
    <t>Mag.</t>
  </si>
  <si>
    <t>Taille</t>
  </si>
  <si>
    <t>Dist</t>
  </si>
  <si>
    <t>Nom</t>
  </si>
  <si>
    <t>Objet Recherché</t>
  </si>
  <si>
    <t>N° MESSIER :</t>
  </si>
  <si>
    <t>Reférérence NGC :</t>
  </si>
  <si>
    <t>ND</t>
  </si>
  <si>
    <t>Nom populaire :</t>
  </si>
  <si>
    <t>Constellation :</t>
  </si>
  <si>
    <t>Andromède</t>
  </si>
  <si>
    <t>Andromeda</t>
  </si>
  <si>
    <t>Cancer</t>
  </si>
  <si>
    <t>Capricorne</t>
  </si>
  <si>
    <t>Capricornus</t>
  </si>
  <si>
    <t>Cassipée</t>
  </si>
  <si>
    <t>Cassiopeia</t>
  </si>
  <si>
    <t>Coma Berenices</t>
  </si>
  <si>
    <t>Chevelure de Bérénices</t>
  </si>
  <si>
    <t>Grand Chien</t>
  </si>
  <si>
    <t>Canis Major</t>
  </si>
  <si>
    <t>Chien de Chasse</t>
  </si>
  <si>
    <t>Canes Venatici</t>
  </si>
  <si>
    <t>Cocher</t>
  </si>
  <si>
    <t>Auriga</t>
  </si>
  <si>
    <t>Cygne</t>
  </si>
  <si>
    <t>Cygnus</t>
  </si>
  <si>
    <t>Dragon</t>
  </si>
  <si>
    <t>Draco</t>
  </si>
  <si>
    <t>Ecu de Sobieski</t>
  </si>
  <si>
    <t>Scutum</t>
  </si>
  <si>
    <t>Flèche</t>
  </si>
  <si>
    <t>Sagitta</t>
  </si>
  <si>
    <t>Gémeaux</t>
  </si>
  <si>
    <t>Gemini</t>
  </si>
  <si>
    <t>Grande Ourse</t>
  </si>
  <si>
    <t>Ursa Major</t>
  </si>
  <si>
    <t>Hercule</t>
  </si>
  <si>
    <t>Hercules</t>
  </si>
  <si>
    <t>Hydre Femelle</t>
  </si>
  <si>
    <t>Hydra</t>
  </si>
  <si>
    <t>Licorne</t>
  </si>
  <si>
    <t>Monoceros</t>
  </si>
  <si>
    <t>Lièvre</t>
  </si>
  <si>
    <t>Lepus</t>
  </si>
  <si>
    <t>Lion</t>
  </si>
  <si>
    <t>Lyre</t>
  </si>
  <si>
    <t>Lyra</t>
  </si>
  <si>
    <t>Ophiuchus</t>
  </si>
  <si>
    <t>Orion</t>
  </si>
  <si>
    <t>Pégase</t>
  </si>
  <si>
    <t>Pegasus</t>
  </si>
  <si>
    <t>Persée</t>
  </si>
  <si>
    <t>Perseus</t>
  </si>
  <si>
    <t>Vulpecula</t>
  </si>
  <si>
    <t>Poissons</t>
  </si>
  <si>
    <t>Pisces</t>
  </si>
  <si>
    <t>Poupe</t>
  </si>
  <si>
    <t>Puppis</t>
  </si>
  <si>
    <t>Petit Renard</t>
  </si>
  <si>
    <t>Sagittaire</t>
  </si>
  <si>
    <t>Sagittarius</t>
  </si>
  <si>
    <t>Scorpion</t>
  </si>
  <si>
    <t>Scorpius</t>
  </si>
  <si>
    <t>Ser</t>
  </si>
  <si>
    <t>Serpent</t>
  </si>
  <si>
    <t>Serpens</t>
  </si>
  <si>
    <t>Taureau</t>
  </si>
  <si>
    <t>Taurus</t>
  </si>
  <si>
    <t>Triangle</t>
  </si>
  <si>
    <t>Triangulum</t>
  </si>
  <si>
    <t>Verseau</t>
  </si>
  <si>
    <t>Aquarius</t>
  </si>
  <si>
    <t>Vierge</t>
  </si>
  <si>
    <t>Virgo</t>
  </si>
  <si>
    <t>Constellations</t>
  </si>
  <si>
    <t>Type :</t>
  </si>
  <si>
    <t>New General Catalog</t>
  </si>
  <si>
    <t>Magnitude visuelle :</t>
  </si>
  <si>
    <t>AD =</t>
  </si>
  <si>
    <t>Dec =</t>
  </si>
  <si>
    <t>Saison</t>
  </si>
  <si>
    <t>Dimension(s) :</t>
  </si>
  <si>
    <t>Latitude :</t>
  </si>
  <si>
    <t>Longitude :</t>
  </si>
  <si>
    <t>Lieu d'observation</t>
  </si>
  <si>
    <t>Date de l'observation :</t>
  </si>
  <si>
    <t>jour</t>
  </si>
  <si>
    <t>mois</t>
  </si>
  <si>
    <t>année</t>
  </si>
  <si>
    <t>Décodage de la date</t>
  </si>
  <si>
    <t>HAD</t>
  </si>
  <si>
    <t>MAD</t>
  </si>
  <si>
    <t>DDEC</t>
  </si>
  <si>
    <t>MDEC</t>
  </si>
  <si>
    <t>Degrés</t>
  </si>
  <si>
    <t>Heures</t>
  </si>
  <si>
    <t>Minutes</t>
  </si>
  <si>
    <t>Extraction des coordonnées de l'objet</t>
  </si>
  <si>
    <t>&lt; Année bisextile ?</t>
  </si>
  <si>
    <t xml:space="preserve">Heure </t>
  </si>
  <si>
    <t>Secondes</t>
  </si>
  <si>
    <t>Minutes déc.</t>
  </si>
  <si>
    <t>Date de référence :</t>
  </si>
  <si>
    <t>Messier :</t>
  </si>
  <si>
    <t>Azimut</t>
  </si>
  <si>
    <t>Hauteur</t>
  </si>
  <si>
    <t>Objet pointé :</t>
  </si>
  <si>
    <t>Heure d'observation :</t>
  </si>
  <si>
    <t>TU</t>
  </si>
  <si>
    <t>Coordonnées Azimutales</t>
  </si>
  <si>
    <t xml:space="preserve">Objets dans un rayon de </t>
  </si>
  <si>
    <t>Rayon de recherche :</t>
  </si>
  <si>
    <t>RdR</t>
  </si>
  <si>
    <t>Constel.</t>
  </si>
  <si>
    <t>dans la même constellation :</t>
  </si>
  <si>
    <t>Dans le voisinage :</t>
  </si>
  <si>
    <t>Développé en VBA par F. GUINEPAIN - www.astrosurf.com/fguinepain</t>
  </si>
  <si>
    <t>Objet pointé</t>
  </si>
  <si>
    <t>Zone de commentaire...</t>
  </si>
  <si>
    <t>LongiDeg</t>
  </si>
  <si>
    <t>LongiMin</t>
  </si>
  <si>
    <t>LongiSec</t>
  </si>
  <si>
    <t>LongiOrient</t>
  </si>
  <si>
    <t>LatDeg</t>
  </si>
  <si>
    <t>LatMin</t>
  </si>
  <si>
    <t>LatSec</t>
  </si>
  <si>
    <t>LatOrient</t>
  </si>
  <si>
    <t>est</t>
  </si>
  <si>
    <t>nord</t>
  </si>
  <si>
    <t>AZ</t>
  </si>
  <si>
    <t>H</t>
  </si>
  <si>
    <t xml:space="preserve">h = </t>
  </si>
  <si>
    <t>Az =</t>
  </si>
  <si>
    <t>Dec</t>
  </si>
  <si>
    <t>Coordonnées Equatoriales corrigées</t>
  </si>
  <si>
    <t>Messier</t>
  </si>
  <si>
    <t>Calcul en cours pour :</t>
  </si>
  <si>
    <t>Baleine</t>
  </si>
  <si>
    <t>Cetus</t>
  </si>
  <si>
    <t>Constellation choisie :</t>
  </si>
  <si>
    <t>Liste des Messiers :</t>
  </si>
  <si>
    <t>Liste des noms des Messiers</t>
  </si>
  <si>
    <r>
      <t xml:space="preserve">Explorateur du catalogue Charles MESSIER </t>
    </r>
    <r>
      <rPr>
        <sz val="10"/>
        <color indexed="9"/>
        <rFont val="Arial Black"/>
        <family val="2"/>
      </rPr>
      <t>v1.05 - VII 2002</t>
    </r>
  </si>
  <si>
    <t>h</t>
  </si>
  <si>
    <t>min</t>
  </si>
  <si>
    <t>sec</t>
  </si>
  <si>
    <t>Deg</t>
  </si>
  <si>
    <t>DécalageTU</t>
  </si>
  <si>
    <t>Objets au dessus de 45° :</t>
  </si>
  <si>
    <t>Objets sous l'horizon :</t>
  </si>
  <si>
    <t>Objets entre 0 et 20° :</t>
  </si>
  <si>
    <t>Objets entre 20 et 45° :</t>
  </si>
  <si>
    <t>1</t>
  </si>
  <si>
    <t>49</t>
  </si>
  <si>
    <t>0</t>
  </si>
  <si>
    <t>Objets visibles</t>
  </si>
  <si>
    <t>(Heure TU)</t>
  </si>
  <si>
    <t>7</t>
  </si>
  <si>
    <t>32 Objets</t>
  </si>
  <si>
    <t>2002</t>
  </si>
  <si>
    <t>13</t>
  </si>
  <si>
    <t>19</t>
  </si>
  <si>
    <t>18</t>
  </si>
  <si>
    <t>8</t>
  </si>
  <si>
    <t>20 Objets</t>
  </si>
  <si>
    <t>27 Objets</t>
  </si>
  <si>
    <t>31 Objets</t>
  </si>
  <si>
    <t xml:space="preserve">1 - 2 - 7 - 30 - 33 - 35 - 41 - 42 - 43 - 45 - 46 - 47 - 48 - 50 - 54 - 55 - 69 - 70 - 72 - 73 - 74 - 75 - 77 - 78 - 79 - 85 - 93 - </t>
  </si>
  <si>
    <t xml:space="preserve">5 - 10 - 12 - 14 - 27 - 29 - 39 - 49 - 52 - 56 - 57 - 58 - 59 - 60 - 61 - 65 - 66 - 71 - 84 - 86 - 87 - 89 - 90 - 95 - 96 - 98 - 99 - 103 - 104 - 105 - 107 - </t>
  </si>
  <si>
    <t xml:space="preserve">3 - 13 - 40 - 51 - 53 - 63 - 64 - 81 - 82 - 88 - 91 - 92 - 94 - 97 - 100 - 101 - 102 - 106 - 108 - 109 - </t>
  </si>
  <si>
    <t xml:space="preserve">4 - 6 - 8 - 9 - 11 - 15 - 16 - 17 - 18 - 19 - 20 - 21 - 22 - 23 - 24 - 25 - 26 - 28 - 31 - 32 - 34 - 36 - 37 - 38 - 44 - 62 - 67 - 68 - 76 - 80 - 83 - 110 -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</si>
</sst>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h:mm"/>
    <numFmt numFmtId="174" formatCode="h:mm:ss"/>
    <numFmt numFmtId="175" formatCode="dd/mm/yy"/>
    <numFmt numFmtId="176" formatCode="d/m/yy"/>
    <numFmt numFmtId="177" formatCode="d\ mmmm\ yyyy"/>
    <numFmt numFmtId="178" formatCode="d\-mmm\-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 Black"/>
      <family val="2"/>
    </font>
    <font>
      <sz val="10"/>
      <color indexed="43"/>
      <name val="Arial"/>
      <family val="0"/>
    </font>
    <font>
      <i/>
      <sz val="10"/>
      <color indexed="43"/>
      <name val="Arial"/>
      <family val="2"/>
    </font>
    <font>
      <b/>
      <sz val="12"/>
      <color indexed="43"/>
      <name val="Arial"/>
      <family val="2"/>
    </font>
    <font>
      <b/>
      <i/>
      <sz val="12"/>
      <color indexed="43"/>
      <name val="Arial"/>
      <family val="2"/>
    </font>
    <font>
      <b/>
      <sz val="12"/>
      <color indexed="43"/>
      <name val="CityBlueprint"/>
      <family val="0"/>
    </font>
    <font>
      <i/>
      <sz val="11"/>
      <color indexed="43"/>
      <name val="CityBlueprint"/>
      <family val="0"/>
    </font>
    <font>
      <b/>
      <i/>
      <sz val="14"/>
      <color indexed="43"/>
      <name val="Arial"/>
      <family val="2"/>
    </font>
    <font>
      <i/>
      <sz val="12"/>
      <color indexed="43"/>
      <name val="Arial"/>
      <family val="2"/>
    </font>
    <font>
      <i/>
      <sz val="14"/>
      <color indexed="43"/>
      <name val="Arial"/>
      <family val="2"/>
    </font>
    <font>
      <sz val="10"/>
      <color indexed="18"/>
      <name val="Arial"/>
      <family val="2"/>
    </font>
    <font>
      <sz val="10"/>
      <color indexed="9"/>
      <name val="Arial Black"/>
      <family val="2"/>
    </font>
    <font>
      <i/>
      <sz val="9"/>
      <color indexed="18"/>
      <name val="Arial"/>
      <family val="2"/>
    </font>
    <font>
      <i/>
      <sz val="9"/>
      <color indexed="43"/>
      <name val="Arial"/>
      <family val="2"/>
    </font>
    <font>
      <b/>
      <sz val="14"/>
      <color indexed="43"/>
      <name val="Arial"/>
      <family val="2"/>
    </font>
    <font>
      <i/>
      <sz val="11"/>
      <color indexed="43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43"/>
      <name val="Arial"/>
      <family val="2"/>
    </font>
    <font>
      <b/>
      <sz val="18"/>
      <color indexed="13"/>
      <name val="Arial"/>
      <family val="2"/>
    </font>
    <font>
      <sz val="8"/>
      <color indexed="13"/>
      <name val="Arial"/>
      <family val="2"/>
    </font>
    <font>
      <sz val="8.25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i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43"/>
      <name val="Arial"/>
      <family val="2"/>
    </font>
    <font>
      <sz val="12"/>
      <name val="Arial"/>
      <family val="0"/>
    </font>
    <font>
      <sz val="10"/>
      <name val="Tahom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0" xfId="15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horizontal="right"/>
    </xf>
    <xf numFmtId="21" fontId="0" fillId="4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1" fillId="4" borderId="0" xfId="0" applyFont="1" applyFill="1" applyBorder="1" applyAlignment="1">
      <alignment/>
    </xf>
    <xf numFmtId="0" fontId="11" fillId="4" borderId="5" xfId="0" applyFont="1" applyFill="1" applyBorder="1" applyAlignment="1">
      <alignment horizontal="right"/>
    </xf>
    <xf numFmtId="0" fontId="11" fillId="4" borderId="6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4" borderId="8" xfId="0" applyFont="1" applyFill="1" applyBorder="1" applyAlignment="1">
      <alignment horizontal="right"/>
    </xf>
    <xf numFmtId="0" fontId="11" fillId="4" borderId="9" xfId="0" applyFont="1" applyFill="1" applyBorder="1" applyAlignment="1">
      <alignment/>
    </xf>
    <xf numFmtId="0" fontId="11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right" vertical="top"/>
    </xf>
    <xf numFmtId="0" fontId="11" fillId="4" borderId="0" xfId="0" applyFont="1" applyFill="1" applyAlignment="1">
      <alignment vertical="top"/>
    </xf>
    <xf numFmtId="0" fontId="11" fillId="4" borderId="0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11" fillId="4" borderId="11" xfId="0" applyFont="1" applyFill="1" applyBorder="1" applyAlignment="1">
      <alignment/>
    </xf>
    <xf numFmtId="0" fontId="11" fillId="4" borderId="10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15" fillId="4" borderId="12" xfId="0" applyFont="1" applyFill="1" applyBorder="1" applyAlignment="1">
      <alignment vertical="center"/>
    </xf>
    <xf numFmtId="0" fontId="11" fillId="4" borderId="10" xfId="0" applyFont="1" applyFill="1" applyBorder="1" applyAlignment="1">
      <alignment/>
    </xf>
    <xf numFmtId="0" fontId="13" fillId="4" borderId="8" xfId="0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vertical="center"/>
    </xf>
    <xf numFmtId="0" fontId="11" fillId="4" borderId="5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/>
    </xf>
    <xf numFmtId="0" fontId="18" fillId="4" borderId="10" xfId="0" applyFont="1" applyFill="1" applyBorder="1" applyAlignment="1">
      <alignment/>
    </xf>
    <xf numFmtId="0" fontId="13" fillId="4" borderId="10" xfId="0" applyFont="1" applyFill="1" applyBorder="1" applyAlignment="1">
      <alignment horizontal="right"/>
    </xf>
    <xf numFmtId="47" fontId="19" fillId="4" borderId="0" xfId="0" applyNumberFormat="1" applyFont="1" applyFill="1" applyBorder="1" applyAlignment="1">
      <alignment horizontal="left"/>
    </xf>
    <xf numFmtId="0" fontId="13" fillId="4" borderId="0" xfId="0" applyFont="1" applyFill="1" applyBorder="1" applyAlignment="1">
      <alignment horizontal="right"/>
    </xf>
    <xf numFmtId="0" fontId="19" fillId="4" borderId="11" xfId="0" applyFont="1" applyFill="1" applyBorder="1" applyAlignment="1">
      <alignment horizontal="left"/>
    </xf>
    <xf numFmtId="2" fontId="19" fillId="4" borderId="12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right"/>
    </xf>
    <xf numFmtId="2" fontId="19" fillId="4" borderId="9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/>
    </xf>
    <xf numFmtId="0" fontId="18" fillId="4" borderId="5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center"/>
    </xf>
    <xf numFmtId="0" fontId="6" fillId="7" borderId="6" xfId="0" applyFont="1" applyFill="1" applyBorder="1" applyAlignment="1" applyProtection="1">
      <alignment horizontal="left"/>
      <protection locked="0"/>
    </xf>
    <xf numFmtId="0" fontId="9" fillId="6" borderId="6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25" fillId="4" borderId="12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14" fontId="26" fillId="7" borderId="0" xfId="0" applyNumberFormat="1" applyFont="1" applyFill="1" applyAlignment="1" applyProtection="1">
      <alignment horizontal="center"/>
      <protection locked="0"/>
    </xf>
    <xf numFmtId="0" fontId="20" fillId="7" borderId="0" xfId="0" applyFont="1" applyFill="1" applyAlignment="1" applyProtection="1">
      <alignment horizontal="center" vertical="top"/>
      <protection locked="0"/>
    </xf>
    <xf numFmtId="0" fontId="20" fillId="4" borderId="0" xfId="0" applyFont="1" applyFill="1" applyBorder="1" applyAlignment="1">
      <alignment/>
    </xf>
    <xf numFmtId="0" fontId="18" fillId="4" borderId="5" xfId="0" applyFont="1" applyFill="1" applyBorder="1" applyAlignment="1">
      <alignment/>
    </xf>
    <xf numFmtId="172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12" fillId="4" borderId="12" xfId="0" applyFont="1" applyFill="1" applyBorder="1" applyAlignment="1">
      <alignment horizontal="right" vertical="center"/>
    </xf>
    <xf numFmtId="1" fontId="11" fillId="4" borderId="9" xfId="0" applyNumberFormat="1" applyFont="1" applyFill="1" applyBorder="1" applyAlignment="1">
      <alignment horizontal="left" vertical="center"/>
    </xf>
    <xf numFmtId="0" fontId="11" fillId="5" borderId="0" xfId="0" applyFont="1" applyFill="1" applyAlignment="1">
      <alignment/>
    </xf>
    <xf numFmtId="0" fontId="28" fillId="8" borderId="3" xfId="0" applyFont="1" applyFill="1" applyBorder="1" applyAlignment="1">
      <alignment/>
    </xf>
    <xf numFmtId="0" fontId="29" fillId="8" borderId="1" xfId="0" applyFont="1" applyFill="1" applyBorder="1" applyAlignment="1">
      <alignment horizontal="right"/>
    </xf>
    <xf numFmtId="0" fontId="28" fillId="8" borderId="2" xfId="0" applyFont="1" applyFill="1" applyBorder="1" applyAlignment="1">
      <alignment/>
    </xf>
    <xf numFmtId="0" fontId="30" fillId="5" borderId="0" xfId="0" applyFont="1" applyFill="1" applyAlignment="1">
      <alignment/>
    </xf>
    <xf numFmtId="0" fontId="28" fillId="4" borderId="0" xfId="0" applyFont="1" applyFill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NumberFormat="1" applyFill="1" applyBorder="1" applyAlignment="1">
      <alignment horizontal="right"/>
    </xf>
    <xf numFmtId="172" fontId="0" fillId="9" borderId="1" xfId="0" applyNumberFormat="1" applyFill="1" applyBorder="1" applyAlignment="1">
      <alignment horizontal="left"/>
    </xf>
    <xf numFmtId="0" fontId="0" fillId="0" borderId="0" xfId="0" applyFont="1" applyAlignment="1">
      <alignment/>
    </xf>
    <xf numFmtId="172" fontId="1" fillId="9" borderId="3" xfId="0" applyNumberFormat="1" applyFont="1" applyFill="1" applyBorder="1" applyAlignment="1">
      <alignment horizontal="left"/>
    </xf>
    <xf numFmtId="0" fontId="0" fillId="9" borderId="1" xfId="0" applyFill="1" applyBorder="1" applyAlignment="1">
      <alignment/>
    </xf>
    <xf numFmtId="0" fontId="0" fillId="9" borderId="2" xfId="0" applyFill="1" applyBorder="1" applyAlignment="1">
      <alignment/>
    </xf>
    <xf numFmtId="0" fontId="1" fillId="9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0" borderId="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72" fontId="3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9" fillId="5" borderId="0" xfId="0" applyFont="1" applyFill="1" applyAlignment="1">
      <alignment/>
    </xf>
    <xf numFmtId="0" fontId="10" fillId="4" borderId="0" xfId="0" applyFont="1" applyFill="1" applyAlignment="1">
      <alignment textRotation="90"/>
    </xf>
    <xf numFmtId="0" fontId="0" fillId="5" borderId="0" xfId="0" applyFill="1" applyAlignment="1">
      <alignment/>
    </xf>
    <xf numFmtId="0" fontId="41" fillId="4" borderId="0" xfId="0" applyFont="1" applyFill="1" applyAlignment="1">
      <alignment/>
    </xf>
    <xf numFmtId="14" fontId="0" fillId="5" borderId="0" xfId="0" applyNumberFormat="1" applyFill="1" applyAlignment="1">
      <alignment/>
    </xf>
    <xf numFmtId="0" fontId="42" fillId="5" borderId="0" xfId="0" applyFont="1" applyFill="1" applyAlignment="1">
      <alignment/>
    </xf>
    <xf numFmtId="0" fontId="42" fillId="5" borderId="13" xfId="0" applyFont="1" applyFill="1" applyBorder="1" applyAlignment="1">
      <alignment textRotation="45"/>
    </xf>
    <xf numFmtId="175" fontId="42" fillId="5" borderId="0" xfId="0" applyNumberFormat="1" applyFont="1" applyFill="1" applyAlignment="1">
      <alignment/>
    </xf>
    <xf numFmtId="0" fontId="44" fillId="5" borderId="0" xfId="0" applyFont="1" applyFill="1" applyAlignment="1">
      <alignment/>
    </xf>
    <xf numFmtId="0" fontId="29" fillId="8" borderId="1" xfId="0" applyFont="1" applyFill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/>
      <protection locked="0"/>
    </xf>
    <xf numFmtId="0" fontId="10" fillId="6" borderId="0" xfId="0" applyFont="1" applyFill="1" applyAlignment="1">
      <alignment horizontal="center" vertical="top" textRotation="90"/>
    </xf>
    <xf numFmtId="0" fontId="0" fillId="0" borderId="0" xfId="0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vertical="top" wrapText="1"/>
    </xf>
    <xf numFmtId="0" fontId="6" fillId="6" borderId="12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left" vertical="center"/>
    </xf>
    <xf numFmtId="0" fontId="22" fillId="10" borderId="5" xfId="0" applyFont="1" applyFill="1" applyBorder="1" applyAlignment="1">
      <alignment horizontal="right" wrapText="1"/>
    </xf>
    <xf numFmtId="0" fontId="23" fillId="10" borderId="7" xfId="0" applyFont="1" applyFill="1" applyBorder="1" applyAlignment="1">
      <alignment horizontal="right" wrapText="1"/>
    </xf>
    <xf numFmtId="0" fontId="23" fillId="10" borderId="10" xfId="0" applyFont="1" applyFill="1" applyBorder="1" applyAlignment="1">
      <alignment horizontal="right" wrapText="1"/>
    </xf>
    <xf numFmtId="0" fontId="23" fillId="10" borderId="11" xfId="0" applyFont="1" applyFill="1" applyBorder="1" applyAlignment="1">
      <alignment horizontal="right" wrapText="1"/>
    </xf>
    <xf numFmtId="0" fontId="23" fillId="10" borderId="8" xfId="0" applyFont="1" applyFill="1" applyBorder="1" applyAlignment="1">
      <alignment horizontal="right" wrapText="1"/>
    </xf>
    <xf numFmtId="0" fontId="23" fillId="10" borderId="9" xfId="0" applyFont="1" applyFill="1" applyBorder="1" applyAlignment="1">
      <alignment horizontal="right" wrapText="1"/>
    </xf>
    <xf numFmtId="0" fontId="26" fillId="7" borderId="6" xfId="0" applyFont="1" applyFill="1" applyBorder="1" applyAlignment="1" applyProtection="1">
      <alignment horizontal="center" vertical="center"/>
      <protection locked="0"/>
    </xf>
    <xf numFmtId="0" fontId="27" fillId="0" borderId="6" xfId="0" applyFont="1" applyBorder="1" applyAlignment="1">
      <alignment horizontal="center" vertical="center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0" fillId="11" borderId="3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172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Répartition des objets du catalogue MESSIER</a:t>
            </a:r>
          </a:p>
        </c:rich>
      </c:tx>
      <c:layout>
        <c:manualLayout>
          <c:xMode val="factor"/>
          <c:yMode val="factor"/>
          <c:x val="-0.008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96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MESSIERs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Pt>
            <c:idx val="81"/>
            <c:spPr>
              <a:ln w="3175">
                <a:noFill/>
              </a:ln>
            </c:spPr>
            <c:marker>
              <c:size val="4"/>
              <c:spPr>
                <a:solidFill>
                  <a:srgbClr val="00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Données!$N$2:$N$111</c:f>
              <c:numCache>
                <c:ptCount val="110"/>
                <c:pt idx="0">
                  <c:v>142.26</c:v>
                </c:pt>
                <c:pt idx="1">
                  <c:v>262.387</c:v>
                </c:pt>
                <c:pt idx="2">
                  <c:v>39.6</c:v>
                </c:pt>
                <c:pt idx="3">
                  <c:v>338.93</c:v>
                </c:pt>
                <c:pt idx="4">
                  <c:v>350.841</c:v>
                </c:pt>
                <c:pt idx="5">
                  <c:v>325.165</c:v>
                </c:pt>
                <c:pt idx="6">
                  <c:v>323.634</c:v>
                </c:pt>
                <c:pt idx="7">
                  <c:v>316.898</c:v>
                </c:pt>
                <c:pt idx="8">
                  <c:v>323.702</c:v>
                </c:pt>
                <c:pt idx="9">
                  <c:v>323</c:v>
                </c:pt>
                <c:pt idx="10">
                  <c:v>297.423</c:v>
                </c:pt>
                <c:pt idx="11">
                  <c:v>324.567</c:v>
                </c:pt>
                <c:pt idx="12">
                  <c:v>291.004</c:v>
                </c:pt>
                <c:pt idx="13">
                  <c:v>312.223</c:v>
                </c:pt>
                <c:pt idx="14">
                  <c:v>254.76</c:v>
                </c:pt>
                <c:pt idx="15">
                  <c:v>308.343</c:v>
                </c:pt>
                <c:pt idx="16">
                  <c:v>309.322</c:v>
                </c:pt>
                <c:pt idx="17">
                  <c:v>310.018</c:v>
                </c:pt>
                <c:pt idx="18">
                  <c:v>330.382</c:v>
                </c:pt>
                <c:pt idx="19">
                  <c:v>316.554</c:v>
                </c:pt>
                <c:pt idx="20">
                  <c:v>315.798</c:v>
                </c:pt>
                <c:pt idx="21">
                  <c:v>310.138</c:v>
                </c:pt>
                <c:pt idx="22">
                  <c:v>315.818</c:v>
                </c:pt>
                <c:pt idx="23">
                  <c:v>311.266</c:v>
                </c:pt>
                <c:pt idx="24">
                  <c:v>308.732</c:v>
                </c:pt>
                <c:pt idx="25">
                  <c:v>300.453</c:v>
                </c:pt>
                <c:pt idx="26">
                  <c:v>263.806</c:v>
                </c:pt>
                <c:pt idx="27">
                  <c:v>312.959</c:v>
                </c:pt>
                <c:pt idx="28">
                  <c:v>246.134</c:v>
                </c:pt>
                <c:pt idx="29">
                  <c:v>276.735</c:v>
                </c:pt>
                <c:pt idx="30">
                  <c:v>203.524</c:v>
                </c:pt>
                <c:pt idx="31">
                  <c:v>203.754</c:v>
                </c:pt>
                <c:pt idx="32">
                  <c:v>196.783</c:v>
                </c:pt>
                <c:pt idx="33">
                  <c:v>181.772</c:v>
                </c:pt>
                <c:pt idx="34">
                  <c:v>136.278</c:v>
                </c:pt>
                <c:pt idx="35">
                  <c:v>147.257</c:v>
                </c:pt>
                <c:pt idx="36">
                  <c:v>143.431</c:v>
                </c:pt>
                <c:pt idx="37">
                  <c:v>149.291</c:v>
                </c:pt>
                <c:pt idx="38">
                  <c:v>227.911</c:v>
                </c:pt>
                <c:pt idx="39">
                  <c:v>129.064</c:v>
                </c:pt>
                <c:pt idx="40">
                  <c:v>100.207</c:v>
                </c:pt>
                <c:pt idx="41">
                  <c:v>127.958</c:v>
                </c:pt>
                <c:pt idx="42">
                  <c:v>127.975</c:v>
                </c:pt>
                <c:pt idx="43">
                  <c:v>105.445</c:v>
                </c:pt>
                <c:pt idx="44">
                  <c:v>166.963</c:v>
                </c:pt>
                <c:pt idx="45">
                  <c:v>93.611</c:v>
                </c:pt>
                <c:pt idx="46">
                  <c:v>94.754</c:v>
                </c:pt>
                <c:pt idx="47">
                  <c:v>93.624</c:v>
                </c:pt>
                <c:pt idx="48">
                  <c:v>48.096</c:v>
                </c:pt>
                <c:pt idx="49">
                  <c:v>105.77</c:v>
                </c:pt>
                <c:pt idx="50">
                  <c:v>93.102</c:v>
                </c:pt>
                <c:pt idx="51">
                  <c:v>204.583</c:v>
                </c:pt>
                <c:pt idx="52">
                  <c:v>41.803</c:v>
                </c:pt>
                <c:pt idx="53">
                  <c:v>310.388</c:v>
                </c:pt>
                <c:pt idx="54">
                  <c:v>302.748</c:v>
                </c:pt>
                <c:pt idx="55">
                  <c:v>264.762</c:v>
                </c:pt>
                <c:pt idx="56">
                  <c:v>265.831</c:v>
                </c:pt>
                <c:pt idx="57">
                  <c:v>48.191</c:v>
                </c:pt>
                <c:pt idx="58">
                  <c:v>46.855</c:v>
                </c:pt>
                <c:pt idx="59">
                  <c:v>46.308</c:v>
                </c:pt>
                <c:pt idx="60">
                  <c:v>47.913</c:v>
                </c:pt>
                <c:pt idx="61">
                  <c:v>332.058</c:v>
                </c:pt>
                <c:pt idx="62">
                  <c:v>78.343</c:v>
                </c:pt>
                <c:pt idx="63">
                  <c:v>50.276</c:v>
                </c:pt>
                <c:pt idx="64">
                  <c:v>69.626</c:v>
                </c:pt>
                <c:pt idx="65">
                  <c:v>68.977</c:v>
                </c:pt>
                <c:pt idx="66">
                  <c:v>97.969</c:v>
                </c:pt>
                <c:pt idx="67">
                  <c:v>29.79</c:v>
                </c:pt>
                <c:pt idx="68">
                  <c:v>315.688</c:v>
                </c:pt>
                <c:pt idx="69">
                  <c:v>313.564</c:v>
                </c:pt>
                <c:pt idx="70">
                  <c:v>267.964</c:v>
                </c:pt>
                <c:pt idx="71">
                  <c:v>277.677</c:v>
                </c:pt>
                <c:pt idx="72">
                  <c:v>276.717</c:v>
                </c:pt>
                <c:pt idx="73">
                  <c:v>199.671</c:v>
                </c:pt>
                <c:pt idx="74">
                  <c:v>292.368</c:v>
                </c:pt>
                <c:pt idx="75">
                  <c:v>190.766</c:v>
                </c:pt>
                <c:pt idx="76">
                  <c:v>182.993</c:v>
                </c:pt>
                <c:pt idx="77">
                  <c:v>128.283</c:v>
                </c:pt>
                <c:pt idx="78">
                  <c:v>116.056</c:v>
                </c:pt>
                <c:pt idx="79">
                  <c:v>339.468</c:v>
                </c:pt>
                <c:pt idx="80">
                  <c:v>170.022</c:v>
                </c:pt>
                <c:pt idx="81">
                  <c:v>170.395</c:v>
                </c:pt>
                <c:pt idx="82">
                  <c:v>16.529</c:v>
                </c:pt>
                <c:pt idx="83">
                  <c:v>52.554</c:v>
                </c:pt>
                <c:pt idx="84">
                  <c:v>201.785</c:v>
                </c:pt>
                <c:pt idx="85">
                  <c:v>52.274</c:v>
                </c:pt>
                <c:pt idx="86">
                  <c:v>50.724</c:v>
                </c:pt>
                <c:pt idx="87">
                  <c:v>51.88</c:v>
                </c:pt>
                <c:pt idx="88">
                  <c:v>49.372</c:v>
                </c:pt>
                <c:pt idx="89">
                  <c:v>49.611</c:v>
                </c:pt>
                <c:pt idx="90">
                  <c:v>50.924</c:v>
                </c:pt>
                <c:pt idx="91">
                  <c:v>267.957</c:v>
                </c:pt>
                <c:pt idx="92">
                  <c:v>86.282</c:v>
                </c:pt>
                <c:pt idx="93">
                  <c:v>82.447</c:v>
                </c:pt>
                <c:pt idx="94">
                  <c:v>75.977</c:v>
                </c:pt>
                <c:pt idx="95">
                  <c:v>75.442</c:v>
                </c:pt>
                <c:pt idx="96">
                  <c:v>123.082</c:v>
                </c:pt>
                <c:pt idx="97">
                  <c:v>57.219</c:v>
                </c:pt>
                <c:pt idx="98">
                  <c:v>55.621</c:v>
                </c:pt>
                <c:pt idx="99">
                  <c:v>55.463</c:v>
                </c:pt>
                <c:pt idx="100">
                  <c:v>133.973</c:v>
                </c:pt>
                <c:pt idx="101">
                  <c:v>195.383</c:v>
                </c:pt>
                <c:pt idx="102">
                  <c:v>189.943</c:v>
                </c:pt>
                <c:pt idx="103">
                  <c:v>35.462</c:v>
                </c:pt>
                <c:pt idx="104">
                  <c:v>75.875</c:v>
                </c:pt>
                <c:pt idx="105">
                  <c:v>102.262</c:v>
                </c:pt>
                <c:pt idx="106">
                  <c:v>332.904</c:v>
                </c:pt>
                <c:pt idx="107">
                  <c:v>123.959</c:v>
                </c:pt>
                <c:pt idx="108">
                  <c:v>117.561</c:v>
                </c:pt>
                <c:pt idx="109">
                  <c:v>203.835</c:v>
                </c:pt>
              </c:numCache>
            </c:numRef>
          </c:xVal>
          <c:yVal>
            <c:numRef>
              <c:f>Données!$O$2:$O$111</c:f>
              <c:numCache>
                <c:ptCount val="110"/>
                <c:pt idx="0">
                  <c:v>-9.941</c:v>
                </c:pt>
                <c:pt idx="1">
                  <c:v>-7.191</c:v>
                </c:pt>
                <c:pt idx="2">
                  <c:v>65.721</c:v>
                </c:pt>
                <c:pt idx="3">
                  <c:v>12.35</c:v>
                </c:pt>
                <c:pt idx="4">
                  <c:v>42.724</c:v>
                </c:pt>
                <c:pt idx="5">
                  <c:v>1.098</c:v>
                </c:pt>
                <c:pt idx="6">
                  <c:v>-2.287</c:v>
                </c:pt>
                <c:pt idx="7">
                  <c:v>5.536</c:v>
                </c:pt>
                <c:pt idx="8">
                  <c:v>15.413</c:v>
                </c:pt>
                <c:pt idx="9">
                  <c:v>30.42</c:v>
                </c:pt>
                <c:pt idx="10">
                  <c:v>14.364</c:v>
                </c:pt>
                <c:pt idx="11">
                  <c:v>33.636</c:v>
                </c:pt>
                <c:pt idx="12">
                  <c:v>66.704</c:v>
                </c:pt>
                <c:pt idx="13">
                  <c:v>26.747</c:v>
                </c:pt>
                <c:pt idx="14">
                  <c:v>3.116</c:v>
                </c:pt>
                <c:pt idx="15">
                  <c:v>12.839</c:v>
                </c:pt>
                <c:pt idx="16">
                  <c:v>10.379</c:v>
                </c:pt>
                <c:pt idx="17">
                  <c:v>9.681</c:v>
                </c:pt>
                <c:pt idx="18">
                  <c:v>9.763</c:v>
                </c:pt>
                <c:pt idx="19">
                  <c:v>6.709</c:v>
                </c:pt>
                <c:pt idx="20">
                  <c:v>7.099</c:v>
                </c:pt>
                <c:pt idx="21">
                  <c:v>2.242</c:v>
                </c:pt>
                <c:pt idx="22">
                  <c:v>10.815</c:v>
                </c:pt>
                <c:pt idx="23">
                  <c:v>9.039</c:v>
                </c:pt>
                <c:pt idx="24">
                  <c:v>6.476</c:v>
                </c:pt>
                <c:pt idx="25">
                  <c:v>12.741</c:v>
                </c:pt>
                <c:pt idx="26">
                  <c:v>25.4</c:v>
                </c:pt>
                <c:pt idx="27">
                  <c:v>2.888</c:v>
                </c:pt>
                <c:pt idx="28">
                  <c:v>32.439</c:v>
                </c:pt>
                <c:pt idx="29">
                  <c:v>-24.774</c:v>
                </c:pt>
                <c:pt idx="30">
                  <c:v>5.183</c:v>
                </c:pt>
                <c:pt idx="31">
                  <c:v>4.574</c:v>
                </c:pt>
                <c:pt idx="32">
                  <c:v>-8.229</c:v>
                </c:pt>
                <c:pt idx="33">
                  <c:v>2.209</c:v>
                </c:pt>
                <c:pt idx="34">
                  <c:v>-4.291</c:v>
                </c:pt>
                <c:pt idx="35">
                  <c:v>1.281</c:v>
                </c:pt>
                <c:pt idx="36">
                  <c:v>1.21</c:v>
                </c:pt>
                <c:pt idx="37">
                  <c:v>1.925</c:v>
                </c:pt>
                <c:pt idx="38">
                  <c:v>29.651</c:v>
                </c:pt>
                <c:pt idx="39">
                  <c:v>66.285</c:v>
                </c:pt>
                <c:pt idx="40">
                  <c:v>-35.504</c:v>
                </c:pt>
                <c:pt idx="41">
                  <c:v>-34.188</c:v>
                </c:pt>
                <c:pt idx="42">
                  <c:v>-34.069</c:v>
                </c:pt>
                <c:pt idx="43">
                  <c:v>13.044</c:v>
                </c:pt>
                <c:pt idx="44">
                  <c:v>-15.493</c:v>
                </c:pt>
                <c:pt idx="45">
                  <c:v>-22.143</c:v>
                </c:pt>
                <c:pt idx="46">
                  <c:v>-22.856</c:v>
                </c:pt>
                <c:pt idx="47">
                  <c:v>-10.29</c:v>
                </c:pt>
                <c:pt idx="48">
                  <c:v>39.456</c:v>
                </c:pt>
                <c:pt idx="49">
                  <c:v>-23.716</c:v>
                </c:pt>
                <c:pt idx="50">
                  <c:v>76.425</c:v>
                </c:pt>
                <c:pt idx="51">
                  <c:v>28.748</c:v>
                </c:pt>
                <c:pt idx="52">
                  <c:v>53.483</c:v>
                </c:pt>
                <c:pt idx="53">
                  <c:v>-5.599</c:v>
                </c:pt>
                <c:pt idx="54">
                  <c:v>-11.736</c:v>
                </c:pt>
                <c:pt idx="55">
                  <c:v>37.738</c:v>
                </c:pt>
                <c:pt idx="56">
                  <c:v>43.378</c:v>
                </c:pt>
                <c:pt idx="57">
                  <c:v>43.503</c:v>
                </c:pt>
                <c:pt idx="58">
                  <c:v>43.934</c:v>
                </c:pt>
                <c:pt idx="59">
                  <c:v>44.084</c:v>
                </c:pt>
                <c:pt idx="60">
                  <c:v>35.197</c:v>
                </c:pt>
                <c:pt idx="61">
                  <c:v>6.281</c:v>
                </c:pt>
                <c:pt idx="62">
                  <c:v>72.243</c:v>
                </c:pt>
                <c:pt idx="63">
                  <c:v>54.481</c:v>
                </c:pt>
                <c:pt idx="64">
                  <c:v>33.746</c:v>
                </c:pt>
                <c:pt idx="65">
                  <c:v>33.582</c:v>
                </c:pt>
                <c:pt idx="66">
                  <c:v>8.566</c:v>
                </c:pt>
                <c:pt idx="67">
                  <c:v>9.381</c:v>
                </c:pt>
                <c:pt idx="68">
                  <c:v>-4.328</c:v>
                </c:pt>
                <c:pt idx="69">
                  <c:v>-5.68</c:v>
                </c:pt>
                <c:pt idx="70">
                  <c:v>23.473</c:v>
                </c:pt>
                <c:pt idx="71">
                  <c:v>-9.399</c:v>
                </c:pt>
                <c:pt idx="72">
                  <c:v>-10.321</c:v>
                </c:pt>
                <c:pt idx="73">
                  <c:v>-23.155</c:v>
                </c:pt>
                <c:pt idx="74">
                  <c:v>-8.733</c:v>
                </c:pt>
                <c:pt idx="75">
                  <c:v>12.271</c:v>
                </c:pt>
                <c:pt idx="76">
                  <c:v>-40.961</c:v>
                </c:pt>
                <c:pt idx="77">
                  <c:v>-28.267</c:v>
                </c:pt>
                <c:pt idx="78">
                  <c:v>-51.024</c:v>
                </c:pt>
                <c:pt idx="79">
                  <c:v>16.281</c:v>
                </c:pt>
                <c:pt idx="80">
                  <c:v>50.392</c:v>
                </c:pt>
                <c:pt idx="81">
                  <c:v>50.362</c:v>
                </c:pt>
                <c:pt idx="82">
                  <c:v>10.195</c:v>
                </c:pt>
                <c:pt idx="83">
                  <c:v>42.816</c:v>
                </c:pt>
                <c:pt idx="84">
                  <c:v>-19.895</c:v>
                </c:pt>
                <c:pt idx="85">
                  <c:v>42.993</c:v>
                </c:pt>
                <c:pt idx="86">
                  <c:v>43.299</c:v>
                </c:pt>
                <c:pt idx="87">
                  <c:v>45.19</c:v>
                </c:pt>
                <c:pt idx="88">
                  <c:v>43.993</c:v>
                </c:pt>
                <c:pt idx="89">
                  <c:v>44.803</c:v>
                </c:pt>
                <c:pt idx="90">
                  <c:v>45.669</c:v>
                </c:pt>
                <c:pt idx="91">
                  <c:v>64.662</c:v>
                </c:pt>
                <c:pt idx="92">
                  <c:v>-28.086</c:v>
                </c:pt>
                <c:pt idx="93">
                  <c:v>67.747</c:v>
                </c:pt>
                <c:pt idx="94">
                  <c:v>27.008</c:v>
                </c:pt>
                <c:pt idx="95">
                  <c:v>27.507</c:v>
                </c:pt>
                <c:pt idx="96">
                  <c:v>57.136</c:v>
                </c:pt>
                <c:pt idx="97">
                  <c:v>43.004</c:v>
                </c:pt>
                <c:pt idx="98">
                  <c:v>43.444</c:v>
                </c:pt>
                <c:pt idx="99">
                  <c:v>45.042</c:v>
                </c:pt>
                <c:pt idx="100">
                  <c:v>80.378</c:v>
                </c:pt>
                <c:pt idx="101">
                  <c:v>82.292</c:v>
                </c:pt>
                <c:pt idx="102">
                  <c:v>21.552</c:v>
                </c:pt>
                <c:pt idx="103">
                  <c:v>23.182</c:v>
                </c:pt>
                <c:pt idx="104">
                  <c:v>28.331</c:v>
                </c:pt>
                <c:pt idx="105">
                  <c:v>64.934</c:v>
                </c:pt>
                <c:pt idx="106">
                  <c:v>24.292</c:v>
                </c:pt>
                <c:pt idx="107">
                  <c:v>56.762</c:v>
                </c:pt>
                <c:pt idx="108">
                  <c:v>62.904</c:v>
                </c:pt>
                <c:pt idx="109">
                  <c:v>5.572</c:v>
                </c:pt>
              </c:numCache>
            </c:numRef>
          </c:yVal>
          <c:smooth val="0"/>
        </c:ser>
        <c:ser>
          <c:idx val="1"/>
          <c:order val="1"/>
          <c:tx>
            <c:v>Objet pointé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99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Données!$J$131</c:f>
              <c:numCache>
                <c:ptCount val="1"/>
                <c:pt idx="0">
                  <c:v>310.138</c:v>
                </c:pt>
              </c:numCache>
            </c:numRef>
          </c:xVal>
          <c:yVal>
            <c:numRef>
              <c:f>Données!$K$131</c:f>
              <c:numCache>
                <c:ptCount val="1"/>
                <c:pt idx="0">
                  <c:v>2.242</c:v>
                </c:pt>
              </c:numCache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inMax"/>
          <c:max val="3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crossBetween val="midCat"/>
        <c:dispUnits/>
        <c:majorUnit val="60"/>
      </c:val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7575BA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Visibilité des objets en fonction du temps et de leur hauteur</a:t>
            </a:r>
          </a:p>
        </c:rich>
      </c:tx>
      <c:layout>
        <c:manualLayout>
          <c:xMode val="factor"/>
          <c:yMode val="factor"/>
          <c:x val="-0.03"/>
          <c:y val="-0.019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125"/>
          <c:w val="0.99825"/>
          <c:h val="0.841"/>
        </c:manualLayout>
      </c:layout>
      <c:surfaceChart>
        <c:ser>
          <c:idx val="0"/>
          <c:order val="0"/>
          <c:tx>
            <c:strRef>
              <c:f>Simulation!$B$2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Simulation!$A$11:$A$22</c:f>
              <c:numCache/>
            </c:numRef>
          </c:cat>
          <c:val>
            <c:numRef>
              <c:f>Simulation!$B$11:$B$22</c:f>
              <c:numCache/>
            </c:numRef>
          </c:val>
        </c:ser>
        <c:ser>
          <c:idx val="1"/>
          <c:order val="1"/>
          <c:tx>
            <c:strRef>
              <c:f>Simulation!$C$2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Simulation!$A$11:$A$22</c:f>
              <c:numCache/>
            </c:numRef>
          </c:cat>
          <c:val>
            <c:numRef>
              <c:f>Simulation!$C$11:$C$22</c:f>
              <c:numCache/>
            </c:numRef>
          </c:val>
        </c:ser>
        <c:ser>
          <c:idx val="2"/>
          <c:order val="2"/>
          <c:tx>
            <c:strRef>
              <c:f>Simulation!$D$2</c:f>
              <c:strCache>
                <c:ptCount val="1"/>
                <c:pt idx="0">
                  <c:v>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Simulation!$A$11:$A$22</c:f>
              <c:numCache/>
            </c:numRef>
          </c:cat>
          <c:val>
            <c:numRef>
              <c:f>Simulation!$D$11:$D$22</c:f>
              <c:numCache/>
            </c:numRef>
          </c:val>
        </c:ser>
        <c:ser>
          <c:idx val="3"/>
          <c:order val="3"/>
          <c:tx>
            <c:strRef>
              <c:f>Simulation!$E$2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Simulation!$A$11:$A$22</c:f>
              <c:numCache/>
            </c:numRef>
          </c:cat>
          <c:val>
            <c:numRef>
              <c:f>Simulation!$E$11:$E$22</c:f>
              <c:numCache/>
            </c:numRef>
          </c:val>
        </c:ser>
        <c:axId val="60743281"/>
        <c:axId val="9818618"/>
        <c:axId val="21258699"/>
      </c:surfac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0743281"/>
        <c:crossesAt val="1"/>
        <c:crossBetween val="midCat"/>
        <c:dispUnits/>
      </c:valAx>
      <c:serAx>
        <c:axId val="2125869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Hauteur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tickLblSkip val="1"/>
        <c:tickMarkSkip val="5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2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8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Nombre d'objets au dessus de l'horizon</a:t>
            </a:r>
          </a:p>
        </c:rich>
      </c:tx>
      <c:layout>
        <c:manualLayout>
          <c:xMode val="factor"/>
          <c:yMode val="factor"/>
          <c:x val="-0.197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025"/>
          <c:w val="0.953"/>
          <c:h val="0.94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Simulation!$A$3:$A$22</c:f>
              <c:numCache/>
            </c:numRef>
          </c:xVal>
          <c:yVal>
            <c:numRef>
              <c:f>Simulation!$F$3:$F$22</c:f>
              <c:numCache/>
            </c:numRef>
          </c:yVal>
          <c:smooth val="1"/>
        </c:ser>
        <c:axId val="57110564"/>
        <c:axId val="44233029"/>
      </c:scatterChart>
      <c:val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CC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crossBetween val="midCat"/>
        <c:dispUnits/>
      </c:valAx>
      <c:valAx>
        <c:axId val="44233029"/>
        <c:scaling>
          <c:orientation val="minMax"/>
          <c:min val="3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CC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7575BA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133350</xdr:rowOff>
    </xdr:from>
    <xdr:to>
      <xdr:col>12</xdr:col>
      <xdr:colOff>66675</xdr:colOff>
      <xdr:row>15</xdr:row>
      <xdr:rowOff>19050</xdr:rowOff>
    </xdr:to>
    <xdr:graphicFrame>
      <xdr:nvGraphicFramePr>
        <xdr:cNvPr id="1" name="Chart 23"/>
        <xdr:cNvGraphicFramePr/>
      </xdr:nvGraphicFramePr>
      <xdr:xfrm>
        <a:off x="4533900" y="13335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47625</xdr:rowOff>
    </xdr:from>
    <xdr:to>
      <xdr:col>15</xdr:col>
      <xdr:colOff>619125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4181475" y="47625"/>
        <a:ext cx="51530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9</xdr:col>
      <xdr:colOff>0</xdr:colOff>
      <xdr:row>33</xdr:row>
      <xdr:rowOff>19050</xdr:rowOff>
    </xdr:to>
    <xdr:graphicFrame>
      <xdr:nvGraphicFramePr>
        <xdr:cNvPr id="2" name="Chart 3"/>
        <xdr:cNvGraphicFramePr/>
      </xdr:nvGraphicFramePr>
      <xdr:xfrm>
        <a:off x="0" y="4029075"/>
        <a:ext cx="41433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295275</xdr:colOff>
      <xdr:row>26</xdr:row>
      <xdr:rowOff>57150</xdr:rowOff>
    </xdr:from>
    <xdr:to>
      <xdr:col>14</xdr:col>
      <xdr:colOff>371475</xdr:colOff>
      <xdr:row>30</xdr:row>
      <xdr:rowOff>76200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438650" y="4724400"/>
          <a:ext cx="3886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AVERTISSEMENT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Cette partie de l'application est expérimentale, son développement est en cours. A terme, elle doit permettre de simuler la visibilité des objets sélectionnés en fonction du temps...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5"/>
  <sheetViews>
    <sheetView showGridLines="0" showRowColHeaders="0" tabSelected="1" workbookViewId="0" topLeftCell="A1">
      <selection activeCell="M27" sqref="M27"/>
    </sheetView>
  </sheetViews>
  <sheetFormatPr defaultColWidth="11.421875" defaultRowHeight="12.75"/>
  <cols>
    <col min="1" max="1" width="5.00390625" style="16" customWidth="1"/>
    <col min="2" max="2" width="18.7109375" style="16" customWidth="1"/>
    <col min="3" max="3" width="15.421875" style="16" customWidth="1"/>
    <col min="4" max="4" width="9.421875" style="16" customWidth="1"/>
    <col min="5" max="5" width="17.7109375" style="16" customWidth="1"/>
    <col min="6" max="6" width="2.140625" style="16" customWidth="1"/>
    <col min="7" max="16384" width="11.421875" style="16" customWidth="1"/>
  </cols>
  <sheetData>
    <row r="1" spans="1:18" ht="18.75" thickBot="1">
      <c r="A1" s="152" t="s">
        <v>284</v>
      </c>
      <c r="B1" s="62" t="s">
        <v>226</v>
      </c>
      <c r="C1" s="23"/>
      <c r="D1" s="23"/>
      <c r="E1" s="23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4"/>
    </row>
    <row r="2" spans="1:18" ht="14.25">
      <c r="A2" s="152"/>
      <c r="B2" s="24" t="s">
        <v>224</v>
      </c>
      <c r="C2" s="172" t="str">
        <f>CONCATENATE(LatDeg,"° ",LatMin,"' ",LatSec,"'' ",LatOrient)</f>
        <v>49° 0' 0'' nord</v>
      </c>
      <c r="D2" s="173"/>
      <c r="E2" s="26"/>
      <c r="F2" s="14"/>
      <c r="G2" s="17"/>
      <c r="H2" s="18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3.5" thickBot="1">
      <c r="A3" s="152"/>
      <c r="B3" s="27" t="s">
        <v>225</v>
      </c>
      <c r="C3" s="174" t="str">
        <f>CONCATENATE(Données!Q118,"° ",Données!Q119,"' ",Données!Q120,"'' ",Données!Q121)</f>
        <v>1° 49' 0'' est</v>
      </c>
      <c r="D3" s="175"/>
      <c r="E3" s="28"/>
      <c r="F3" s="14"/>
      <c r="G3" s="17"/>
      <c r="H3" s="18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4.25">
      <c r="A4" s="152"/>
      <c r="B4" s="29" t="s">
        <v>227</v>
      </c>
      <c r="C4" s="66" t="str">
        <f>CONCATENATE(jour,"/",mois,"/",année)</f>
        <v>13/7/2002</v>
      </c>
      <c r="D4" s="30">
        <f>IF(Données!J120,"Année bisextile","")</f>
      </c>
      <c r="E4" s="6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customHeight="1">
      <c r="A5" s="152"/>
      <c r="B5" s="32" t="s">
        <v>249</v>
      </c>
      <c r="C5" s="67" t="str">
        <f>CONCATENATE(Heure,"h ",Min,"m ",Sec,"s")</f>
        <v>19h 18m 8s</v>
      </c>
      <c r="D5" s="33" t="s">
        <v>250</v>
      </c>
      <c r="E5" s="31"/>
      <c r="F5" s="14"/>
      <c r="G5" s="14"/>
      <c r="H5" s="19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thickBot="1">
      <c r="A6" s="152"/>
      <c r="B6" s="62" t="s">
        <v>145</v>
      </c>
      <c r="C6" s="34"/>
      <c r="D6" s="23"/>
      <c r="E6" s="32"/>
      <c r="F6" s="14"/>
      <c r="G6" s="14"/>
      <c r="H6" s="19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>
      <c r="A7" s="152"/>
      <c r="B7" s="24" t="s">
        <v>146</v>
      </c>
      <c r="C7" s="61">
        <v>22</v>
      </c>
      <c r="D7" s="25"/>
      <c r="E7" s="2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.75" thickBot="1">
      <c r="A8" s="152"/>
      <c r="B8" s="36" t="s">
        <v>147</v>
      </c>
      <c r="C8" s="37">
        <f>VLOOKUP(C7,Données!A:C,3)</f>
        <v>6656</v>
      </c>
      <c r="D8" s="63" t="s">
        <v>218</v>
      </c>
      <c r="E8" s="3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6.5" thickBot="1">
      <c r="A9" s="152"/>
      <c r="B9" s="39" t="s">
        <v>149</v>
      </c>
      <c r="C9" s="156" t="str">
        <f>IF(VLOOKUP(C7,Données!A:L,12)&lt;&gt;0,VLOOKUP(C7,Données!A:L,12),"Aucun !")</f>
        <v>Aucun !</v>
      </c>
      <c r="D9" s="157"/>
      <c r="E9" s="158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" thickBot="1">
      <c r="A10" s="152"/>
      <c r="B10" s="40"/>
      <c r="C10" s="41"/>
      <c r="D10" s="72"/>
      <c r="E10" s="7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6" customHeight="1" thickBot="1">
      <c r="A11" s="152"/>
      <c r="B11" s="31"/>
      <c r="C11" s="31"/>
      <c r="D11" s="31"/>
      <c r="E11" s="31"/>
      <c r="F11" s="14"/>
      <c r="G11" s="14"/>
      <c r="H11" s="19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.75">
      <c r="A12" s="152"/>
      <c r="B12" s="24" t="s">
        <v>150</v>
      </c>
      <c r="C12" s="35" t="str">
        <f>VLOOKUP(C7,Données!A:E,5)</f>
        <v>Sgr</v>
      </c>
      <c r="D12" s="159" t="str">
        <f>VLOOKUP(C12,Données!A115:C149,2,FALSE)</f>
        <v>Sagittaire</v>
      </c>
      <c r="E12" s="160"/>
      <c r="F12" s="14"/>
      <c r="G12" s="14"/>
      <c r="H12" s="19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.75" customHeight="1">
      <c r="A13" s="152"/>
      <c r="B13" s="42"/>
      <c r="C13" s="23"/>
      <c r="D13" s="164" t="str">
        <f>VLOOKUP(C12,[0]!Constellations,3,FALSE)</f>
        <v>Sagittarius</v>
      </c>
      <c r="E13" s="165"/>
      <c r="F13" s="14"/>
      <c r="G13" s="14"/>
      <c r="H13" s="19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 thickBot="1">
      <c r="A14" s="152"/>
      <c r="B14" s="43" t="s">
        <v>217</v>
      </c>
      <c r="C14" s="44" t="str">
        <f>VLOOKUP(C7,Données!A:L,4)</f>
        <v>GlCl</v>
      </c>
      <c r="D14" s="64" t="str">
        <f>CONCATENATE(IF(C14="SNR","Supernovae rémanante",""),IF(C14="GlCl","Amas Globulaire",""),IF(C14="OpCl","Amas Ouvert",""),IF(C14="DifN","Nébuleuse Diffuse",""),IF(C14="PlN","Nébuleuse Planétaire",""),IF(C14="Sp G","Galaxie Spirale",""),IF(C14="El G","Galaxie Elliptique",""),IF(C14="Ir G","Galaxie Irrégulière",""))</f>
        <v>Amas Globulaire</v>
      </c>
      <c r="E14" s="65"/>
      <c r="F14" s="14"/>
      <c r="G14" s="14"/>
      <c r="H14" s="19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5.25" customHeight="1" thickBot="1">
      <c r="A15" s="152"/>
      <c r="B15" s="29"/>
      <c r="C15" s="45"/>
      <c r="D15" s="46"/>
      <c r="E15" s="46"/>
      <c r="F15" s="14"/>
      <c r="G15" s="14"/>
      <c r="H15" s="19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8">
      <c r="A16" s="152"/>
      <c r="B16" s="47" t="s">
        <v>219</v>
      </c>
      <c r="C16" s="59">
        <f>VLOOKUP(C7,Données!A:I,9)</f>
        <v>5.1</v>
      </c>
      <c r="D16" s="166" t="s">
        <v>260</v>
      </c>
      <c r="E16" s="167"/>
      <c r="F16" s="14"/>
      <c r="G16" s="14"/>
      <c r="H16" s="19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5.25" customHeight="1">
      <c r="A17" s="152"/>
      <c r="B17" s="42"/>
      <c r="C17" s="23"/>
      <c r="D17" s="168"/>
      <c r="E17" s="169"/>
      <c r="F17" s="14"/>
      <c r="G17" s="14"/>
      <c r="H17" s="19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9.5" thickBot="1">
      <c r="A18" s="152"/>
      <c r="B18" s="39" t="s">
        <v>223</v>
      </c>
      <c r="C18" s="48">
        <f>VLOOKUP(C7,Données!A:K,10)</f>
        <v>24</v>
      </c>
      <c r="D18" s="170"/>
      <c r="E18" s="171"/>
      <c r="F18" s="14"/>
      <c r="G18" s="79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" customHeight="1">
      <c r="A19" s="152"/>
      <c r="B19" s="49" t="s">
        <v>276</v>
      </c>
      <c r="C19" s="23"/>
      <c r="D19" s="23"/>
      <c r="E19" s="38"/>
      <c r="F19" s="20"/>
      <c r="G19" s="14"/>
      <c r="H19" s="19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8.75">
      <c r="A20" s="152"/>
      <c r="B20" s="50" t="s">
        <v>220</v>
      </c>
      <c r="C20" s="51" t="str">
        <f>CONCATENATE(Données!M132,"h ",Données!M133,"' ",Données!M134,"''")</f>
        <v>18h 36' 33''</v>
      </c>
      <c r="D20" s="52" t="s">
        <v>221</v>
      </c>
      <c r="E20" s="53" t="str">
        <f>CONCATENATE(Données!N132,"° ",Données!N133,"' ",Données!N134,"''")</f>
        <v>-23° -9' 14''</v>
      </c>
      <c r="F20" s="14"/>
      <c r="G20" s="14"/>
      <c r="H20" s="19"/>
      <c r="I20" s="14"/>
      <c r="J20" s="14"/>
      <c r="K20" s="144"/>
      <c r="L20" s="14"/>
      <c r="M20" s="14"/>
      <c r="N20" s="14"/>
      <c r="O20" s="14"/>
      <c r="P20" s="14"/>
      <c r="Q20" s="14"/>
      <c r="R20" s="14"/>
    </row>
    <row r="21" spans="1:18" ht="15.75">
      <c r="A21" s="152"/>
      <c r="B21" s="49" t="s">
        <v>251</v>
      </c>
      <c r="C21" s="23"/>
      <c r="D21" s="154" t="str">
        <f>IF(Données!K131&lt;0,"Sous l'horizon !",IF(Données!K131&lt;20,"Observation moyenne","Observation confortable"))</f>
        <v>Observation moyenne</v>
      </c>
      <c r="E21" s="155"/>
      <c r="F21" s="14"/>
      <c r="G21" s="14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9.5" thickBot="1">
      <c r="A22" s="152"/>
      <c r="B22" s="43" t="s">
        <v>274</v>
      </c>
      <c r="C22" s="54" t="str">
        <f>CONCATENATE(ROUND(VLOOKUP(C7,Données!A:O,14),1),"°")</f>
        <v>310,1°</v>
      </c>
      <c r="D22" s="55" t="s">
        <v>273</v>
      </c>
      <c r="E22" s="56" t="str">
        <f>CONCATENATE(ROUND(VLOOKUP(C7,Données!A:O,15),1),"°")</f>
        <v>2,2°</v>
      </c>
      <c r="F22" s="14"/>
      <c r="G22" s="14"/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.75">
      <c r="A23" s="152"/>
      <c r="B23" s="57"/>
      <c r="C23" s="58" t="s">
        <v>252</v>
      </c>
      <c r="D23" s="60">
        <v>15</v>
      </c>
      <c r="E23" s="26"/>
      <c r="F23" s="14"/>
      <c r="G23" s="14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33.75" customHeight="1" thickBot="1">
      <c r="A24" s="152"/>
      <c r="B24" s="161" t="str">
        <f>IF(OBJ_10&lt;&gt;0,OBJ_10,"Aucun")</f>
        <v>M7 M8 M16 M17 M18 M20 M21 M23 M24 M25 M26 M28 M54 M69 M70 </v>
      </c>
      <c r="C24" s="162"/>
      <c r="D24" s="162"/>
      <c r="E24" s="163"/>
      <c r="F24" s="14"/>
      <c r="G24" s="14"/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6.5" customHeight="1">
      <c r="A25" s="152"/>
      <c r="B25" s="69" t="str">
        <f>CONCATENATE("Objets MESSIER dans : ",D13)</f>
        <v>Objets MESSIER dans : Sagittarius</v>
      </c>
      <c r="C25" s="58"/>
      <c r="D25" s="25"/>
      <c r="E25" s="26"/>
      <c r="F25" s="14"/>
      <c r="G25" s="14"/>
      <c r="H25" s="19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 thickBot="1">
      <c r="A26" s="152"/>
      <c r="B26" s="161" t="str">
        <f>obj_constellation</f>
        <v>M8 M17 M18 M20 M21 M22 M23 M24 M25 M28 M54 M55 M69 M70 M75 </v>
      </c>
      <c r="C26" s="162"/>
      <c r="D26" s="162"/>
      <c r="E26" s="163"/>
      <c r="F26" s="14"/>
      <c r="G26" s="14"/>
      <c r="H26" s="21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153"/>
      <c r="B27" s="30" t="s">
        <v>258</v>
      </c>
      <c r="C27" s="14"/>
      <c r="D27" s="14"/>
      <c r="E27" s="14"/>
      <c r="F27" s="14"/>
      <c r="G27" s="14"/>
      <c r="H27" s="19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53"/>
      <c r="B28" s="14"/>
      <c r="C28" s="14"/>
      <c r="D28" s="14"/>
      <c r="E28" s="14"/>
      <c r="F28" s="14"/>
      <c r="G28" s="14"/>
      <c r="H28" s="19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53"/>
      <c r="B29" s="14"/>
      <c r="C29" s="14"/>
      <c r="D29" s="14"/>
      <c r="E29" s="14"/>
      <c r="F29" s="14"/>
      <c r="G29" s="14"/>
      <c r="H29" s="19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53"/>
      <c r="B30" s="14"/>
      <c r="C30" s="14"/>
      <c r="D30" s="14"/>
      <c r="E30" s="14"/>
      <c r="F30" s="14"/>
      <c r="G30" s="14"/>
      <c r="H30" s="19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53"/>
      <c r="B31" s="14"/>
      <c r="C31" s="14"/>
      <c r="D31" s="14"/>
      <c r="E31" s="14"/>
      <c r="F31" s="14"/>
      <c r="G31" s="14"/>
      <c r="H31" s="19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4"/>
      <c r="B32" s="14"/>
      <c r="C32" s="14"/>
      <c r="D32" s="14"/>
      <c r="E32" s="14"/>
      <c r="F32" s="14"/>
      <c r="G32" s="14"/>
      <c r="H32" s="19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</sheetData>
  <mergeCells count="10">
    <mergeCell ref="A1:A31"/>
    <mergeCell ref="D21:E21"/>
    <mergeCell ref="C9:E9"/>
    <mergeCell ref="D12:E12"/>
    <mergeCell ref="B24:E24"/>
    <mergeCell ref="B26:E26"/>
    <mergeCell ref="D13:E13"/>
    <mergeCell ref="D16:E18"/>
    <mergeCell ref="C2:D2"/>
    <mergeCell ref="C3:D3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28"/>
  <sheetViews>
    <sheetView showGridLines="0" showRowColHeaders="0" workbookViewId="0" topLeftCell="A1">
      <selection activeCell="B1" sqref="B1:C1"/>
    </sheetView>
  </sheetViews>
  <sheetFormatPr defaultColWidth="11.421875" defaultRowHeight="12.75"/>
  <cols>
    <col min="1" max="1" width="5.00390625" style="74" customWidth="1"/>
    <col min="2" max="16384" width="11.421875" style="74" customWidth="1"/>
  </cols>
  <sheetData>
    <row r="1" spans="1:3" ht="12.75" customHeight="1">
      <c r="A1" s="152" t="s">
        <v>284</v>
      </c>
      <c r="B1" s="181" t="str">
        <f>DateObs</f>
        <v>13/7/2002</v>
      </c>
      <c r="C1" s="181"/>
    </row>
    <row r="2" spans="1:4" ht="12.75">
      <c r="A2" s="152"/>
      <c r="B2" s="182" t="str">
        <f>Interface!C5</f>
        <v>19h 18m 8s</v>
      </c>
      <c r="C2" s="182"/>
      <c r="D2" s="74" t="s">
        <v>298</v>
      </c>
    </row>
    <row r="3" ht="12.75">
      <c r="A3" s="152"/>
    </row>
    <row r="4" ht="12.75">
      <c r="A4" s="152"/>
    </row>
    <row r="5" ht="12.75">
      <c r="A5" s="152"/>
    </row>
    <row r="6" spans="1:2" ht="18.75" thickBot="1">
      <c r="A6" s="152"/>
      <c r="B6" s="78" t="s">
        <v>278</v>
      </c>
    </row>
    <row r="7" spans="1:5" ht="21" thickBot="1">
      <c r="A7" s="152"/>
      <c r="B7" s="75"/>
      <c r="C7" s="76" t="s">
        <v>277</v>
      </c>
      <c r="D7" s="150">
        <v>110</v>
      </c>
      <c r="E7" s="77"/>
    </row>
    <row r="8" ht="12.75">
      <c r="A8" s="152"/>
    </row>
    <row r="9" spans="1:5" ht="23.25">
      <c r="A9" s="152"/>
      <c r="B9" s="176" t="str">
        <f>IF(D7=110,"Calcul terminé","")</f>
        <v>Calcul terminé</v>
      </c>
      <c r="C9" s="177"/>
      <c r="D9" s="177"/>
      <c r="E9" s="177"/>
    </row>
    <row r="10" ht="12.75">
      <c r="A10" s="152"/>
    </row>
    <row r="11" spans="1:7" ht="13.5" thickBot="1">
      <c r="A11" s="152"/>
      <c r="B11" s="141" t="s">
        <v>290</v>
      </c>
      <c r="G11" s="151" t="s">
        <v>306</v>
      </c>
    </row>
    <row r="12" spans="1:7" ht="60" customHeight="1" thickBot="1">
      <c r="A12" s="152"/>
      <c r="B12" s="178" t="s">
        <v>311</v>
      </c>
      <c r="C12" s="179"/>
      <c r="D12" s="179"/>
      <c r="E12" s="179"/>
      <c r="F12" s="179"/>
      <c r="G12" s="180"/>
    </row>
    <row r="13" spans="1:7" ht="13.5" thickBot="1">
      <c r="A13" s="152"/>
      <c r="B13" s="141" t="s">
        <v>293</v>
      </c>
      <c r="G13" s="151" t="s">
        <v>308</v>
      </c>
    </row>
    <row r="14" spans="1:7" ht="60" customHeight="1" thickBot="1">
      <c r="A14" s="152"/>
      <c r="B14" s="178" t="s">
        <v>310</v>
      </c>
      <c r="C14" s="179"/>
      <c r="D14" s="179"/>
      <c r="E14" s="179"/>
      <c r="F14" s="179"/>
      <c r="G14" s="180"/>
    </row>
    <row r="15" spans="1:7" ht="13.5" thickBot="1">
      <c r="A15" s="152"/>
      <c r="B15" s="141" t="s">
        <v>292</v>
      </c>
      <c r="G15" s="151" t="s">
        <v>300</v>
      </c>
    </row>
    <row r="16" spans="1:7" ht="60" customHeight="1" thickBot="1">
      <c r="A16" s="152"/>
      <c r="B16" s="178" t="s">
        <v>312</v>
      </c>
      <c r="C16" s="179"/>
      <c r="D16" s="179"/>
      <c r="E16" s="179"/>
      <c r="F16" s="179"/>
      <c r="G16" s="180"/>
    </row>
    <row r="17" spans="1:7" ht="13.5" thickBot="1">
      <c r="A17" s="152"/>
      <c r="B17" s="141" t="s">
        <v>291</v>
      </c>
      <c r="G17" s="151" t="s">
        <v>307</v>
      </c>
    </row>
    <row r="18" spans="1:7" ht="60" customHeight="1" thickBot="1">
      <c r="A18" s="152"/>
      <c r="B18" s="178" t="s">
        <v>309</v>
      </c>
      <c r="C18" s="179"/>
      <c r="D18" s="179"/>
      <c r="E18" s="179"/>
      <c r="F18" s="179"/>
      <c r="G18" s="180"/>
    </row>
    <row r="19" ht="12.75">
      <c r="A19" s="152"/>
    </row>
    <row r="20" ht="12.75">
      <c r="A20" s="152"/>
    </row>
    <row r="21" ht="12.75">
      <c r="A21" s="152"/>
    </row>
    <row r="22" ht="12.75">
      <c r="A22" s="152"/>
    </row>
    <row r="23" ht="12.75">
      <c r="A23" s="152"/>
    </row>
    <row r="24" ht="12.75">
      <c r="A24" s="152"/>
    </row>
    <row r="25" ht="12.75">
      <c r="A25" s="142"/>
    </row>
    <row r="26" ht="12.75">
      <c r="A26" s="142"/>
    </row>
    <row r="27" ht="12.75">
      <c r="A27" s="142"/>
    </row>
    <row r="28" ht="12.75">
      <c r="A28" s="143"/>
    </row>
  </sheetData>
  <sheetProtection password="C2C1" sheet="1" objects="1" scenarios="1"/>
  <mergeCells count="8">
    <mergeCell ref="A1:A24"/>
    <mergeCell ref="B9:E9"/>
    <mergeCell ref="B12:G12"/>
    <mergeCell ref="B14:G14"/>
    <mergeCell ref="B16:G16"/>
    <mergeCell ref="B18:G18"/>
    <mergeCell ref="B1:C1"/>
    <mergeCell ref="B2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K28"/>
  <sheetViews>
    <sheetView showGridLines="0" showRowColHeaders="0" workbookViewId="0" topLeftCell="A1">
      <selection activeCell="E14" sqref="E14"/>
    </sheetView>
  </sheetViews>
  <sheetFormatPr defaultColWidth="11.421875" defaultRowHeight="12.75"/>
  <cols>
    <col min="1" max="1" width="11.421875" style="16" customWidth="1"/>
    <col min="2" max="2" width="5.421875" style="16" customWidth="1"/>
    <col min="3" max="3" width="6.140625" style="16" customWidth="1"/>
    <col min="4" max="5" width="6.00390625" style="16" customWidth="1"/>
    <col min="6" max="6" width="5.57421875" style="16" customWidth="1"/>
    <col min="7" max="7" width="12.00390625" style="16" customWidth="1"/>
    <col min="8" max="8" width="4.8515625" style="16" customWidth="1"/>
    <col min="9" max="9" width="4.7109375" style="16" customWidth="1"/>
    <col min="10" max="16384" width="11.421875" style="16" customWidth="1"/>
  </cols>
  <sheetData>
    <row r="1" spans="1:7" ht="12.75">
      <c r="A1" s="146"/>
      <c r="B1" s="146" t="s">
        <v>3</v>
      </c>
      <c r="C1" s="146" t="s">
        <v>4</v>
      </c>
      <c r="D1" s="146" t="s">
        <v>2</v>
      </c>
      <c r="E1" s="149">
        <v>110</v>
      </c>
      <c r="F1" s="146"/>
      <c r="G1" s="146"/>
    </row>
    <row r="2" spans="1:8" ht="48.75" customHeight="1">
      <c r="A2" s="146"/>
      <c r="B2" s="147">
        <v>0</v>
      </c>
      <c r="C2" s="147">
        <v>20</v>
      </c>
      <c r="D2" s="147">
        <v>45</v>
      </c>
      <c r="E2" s="147">
        <v>90</v>
      </c>
      <c r="F2" s="147" t="s">
        <v>297</v>
      </c>
      <c r="G2" s="147"/>
      <c r="H2" s="145"/>
    </row>
    <row r="3" spans="1:7" ht="12.75">
      <c r="A3" s="146">
        <v>12</v>
      </c>
      <c r="B3" s="146">
        <v>27</v>
      </c>
      <c r="C3" s="146">
        <v>32</v>
      </c>
      <c r="D3" s="146">
        <v>31</v>
      </c>
      <c r="E3" s="146">
        <v>20</v>
      </c>
      <c r="F3" s="146">
        <f>C3+D3+E3</f>
        <v>83</v>
      </c>
      <c r="G3" s="148">
        <v>37257</v>
      </c>
    </row>
    <row r="4" spans="1:7" ht="12.75">
      <c r="A4" s="146">
        <v>27</v>
      </c>
      <c r="B4" s="146">
        <v>25</v>
      </c>
      <c r="C4" s="146">
        <v>35</v>
      </c>
      <c r="D4" s="146">
        <v>31</v>
      </c>
      <c r="E4" s="146">
        <v>19</v>
      </c>
      <c r="F4" s="146">
        <f aca="true" t="shared" si="0" ref="F4:F22">C4+D4+E4</f>
        <v>85</v>
      </c>
      <c r="G4" s="148">
        <f>$G$3+A4</f>
        <v>37284</v>
      </c>
    </row>
    <row r="5" spans="1:7" ht="12.75">
      <c r="A5" s="146">
        <v>42</v>
      </c>
      <c r="B5" s="146">
        <v>23</v>
      </c>
      <c r="C5" s="146">
        <v>34</v>
      </c>
      <c r="D5" s="146">
        <v>36</v>
      </c>
      <c r="E5" s="146">
        <v>17</v>
      </c>
      <c r="F5" s="146">
        <f t="shared" si="0"/>
        <v>87</v>
      </c>
      <c r="G5" s="148">
        <f aca="true" t="shared" si="1" ref="G5:G22">$G$3+A5</f>
        <v>37299</v>
      </c>
    </row>
    <row r="6" spans="1:7" ht="12.75">
      <c r="A6" s="146">
        <v>57</v>
      </c>
      <c r="B6" s="146">
        <v>27</v>
      </c>
      <c r="C6" s="146">
        <v>38</v>
      </c>
      <c r="D6" s="146">
        <v>32</v>
      </c>
      <c r="E6" s="146">
        <v>13</v>
      </c>
      <c r="F6" s="146">
        <f t="shared" si="0"/>
        <v>83</v>
      </c>
      <c r="G6" s="148">
        <f t="shared" si="1"/>
        <v>37314</v>
      </c>
    </row>
    <row r="7" spans="1:7" ht="12.75">
      <c r="A7" s="146">
        <v>72</v>
      </c>
      <c r="B7" s="146">
        <v>28</v>
      </c>
      <c r="C7" s="146">
        <v>37</v>
      </c>
      <c r="D7" s="146">
        <v>34</v>
      </c>
      <c r="E7" s="146">
        <v>11</v>
      </c>
      <c r="F7" s="146">
        <f t="shared" si="0"/>
        <v>82</v>
      </c>
      <c r="G7" s="148">
        <f t="shared" si="1"/>
        <v>37329</v>
      </c>
    </row>
    <row r="8" spans="1:7" ht="12.75">
      <c r="A8" s="146">
        <v>87</v>
      </c>
      <c r="B8" s="146">
        <v>40</v>
      </c>
      <c r="C8" s="146">
        <v>27</v>
      </c>
      <c r="D8" s="146">
        <v>32</v>
      </c>
      <c r="E8" s="146">
        <v>11</v>
      </c>
      <c r="F8" s="146">
        <f t="shared" si="0"/>
        <v>70</v>
      </c>
      <c r="G8" s="148">
        <f t="shared" si="1"/>
        <v>37344</v>
      </c>
    </row>
    <row r="9" spans="1:7" ht="12.75">
      <c r="A9" s="146">
        <v>102</v>
      </c>
      <c r="B9" s="146">
        <v>44</v>
      </c>
      <c r="C9" s="146">
        <v>34</v>
      </c>
      <c r="D9" s="146">
        <v>18</v>
      </c>
      <c r="E9" s="146">
        <v>14</v>
      </c>
      <c r="F9" s="146">
        <f t="shared" si="0"/>
        <v>66</v>
      </c>
      <c r="G9" s="148">
        <f t="shared" si="1"/>
        <v>37359</v>
      </c>
    </row>
    <row r="10" spans="1:7" ht="12.75">
      <c r="A10" s="146">
        <v>117</v>
      </c>
      <c r="B10" s="146">
        <v>48</v>
      </c>
      <c r="C10" s="146">
        <v>34</v>
      </c>
      <c r="D10" s="146">
        <v>15</v>
      </c>
      <c r="E10" s="146">
        <v>13</v>
      </c>
      <c r="F10" s="146">
        <f t="shared" si="0"/>
        <v>62</v>
      </c>
      <c r="G10" s="148">
        <f t="shared" si="1"/>
        <v>37374</v>
      </c>
    </row>
    <row r="11" spans="1:7" ht="12.75">
      <c r="A11" s="146">
        <v>132</v>
      </c>
      <c r="B11" s="146">
        <v>58</v>
      </c>
      <c r="C11" s="146">
        <v>24</v>
      </c>
      <c r="D11" s="146">
        <v>13</v>
      </c>
      <c r="E11" s="146">
        <v>15</v>
      </c>
      <c r="F11" s="146">
        <f t="shared" si="0"/>
        <v>52</v>
      </c>
      <c r="G11" s="148">
        <f t="shared" si="1"/>
        <v>37389</v>
      </c>
    </row>
    <row r="12" spans="1:7" ht="12.75">
      <c r="A12" s="146">
        <v>147</v>
      </c>
      <c r="B12" s="146">
        <v>65</v>
      </c>
      <c r="C12" s="146">
        <v>18</v>
      </c>
      <c r="D12" s="146">
        <v>15</v>
      </c>
      <c r="E12" s="146">
        <v>12</v>
      </c>
      <c r="F12" s="146">
        <f t="shared" si="0"/>
        <v>45</v>
      </c>
      <c r="G12" s="148">
        <f t="shared" si="1"/>
        <v>37404</v>
      </c>
    </row>
    <row r="13" spans="1:7" ht="12.75">
      <c r="A13" s="146">
        <v>162</v>
      </c>
      <c r="B13" s="146">
        <v>65</v>
      </c>
      <c r="C13" s="146">
        <v>17</v>
      </c>
      <c r="D13" s="146">
        <v>16</v>
      </c>
      <c r="E13" s="146">
        <v>12</v>
      </c>
      <c r="F13" s="146">
        <f t="shared" si="0"/>
        <v>45</v>
      </c>
      <c r="G13" s="148">
        <f t="shared" si="1"/>
        <v>37419</v>
      </c>
    </row>
    <row r="14" spans="1:7" ht="12.75">
      <c r="A14" s="146">
        <v>177</v>
      </c>
      <c r="B14" s="146">
        <v>62</v>
      </c>
      <c r="C14" s="146">
        <v>26</v>
      </c>
      <c r="D14" s="146">
        <v>6</v>
      </c>
      <c r="E14" s="146">
        <v>16</v>
      </c>
      <c r="F14" s="146">
        <f t="shared" si="0"/>
        <v>48</v>
      </c>
      <c r="G14" s="148">
        <f t="shared" si="1"/>
        <v>37434</v>
      </c>
    </row>
    <row r="15" spans="1:7" ht="12.75">
      <c r="A15" s="146">
        <v>192</v>
      </c>
      <c r="B15" s="146">
        <v>63</v>
      </c>
      <c r="C15" s="146">
        <v>20</v>
      </c>
      <c r="D15" s="146">
        <v>10</v>
      </c>
      <c r="E15" s="146">
        <v>17</v>
      </c>
      <c r="F15" s="146">
        <f t="shared" si="0"/>
        <v>47</v>
      </c>
      <c r="G15" s="148">
        <f t="shared" si="1"/>
        <v>37449</v>
      </c>
    </row>
    <row r="16" spans="1:7" ht="12.75">
      <c r="A16" s="146">
        <v>207</v>
      </c>
      <c r="B16" s="146">
        <v>63</v>
      </c>
      <c r="C16" s="146">
        <v>19</v>
      </c>
      <c r="D16" s="146">
        <v>10</v>
      </c>
      <c r="E16" s="146">
        <v>18</v>
      </c>
      <c r="F16" s="146">
        <f t="shared" si="0"/>
        <v>47</v>
      </c>
      <c r="G16" s="148">
        <f t="shared" si="1"/>
        <v>37464</v>
      </c>
    </row>
    <row r="17" spans="1:7" ht="12.75">
      <c r="A17" s="146">
        <v>222</v>
      </c>
      <c r="B17" s="146">
        <v>61</v>
      </c>
      <c r="C17" s="146">
        <v>18</v>
      </c>
      <c r="D17" s="146">
        <v>15</v>
      </c>
      <c r="E17" s="146">
        <v>16</v>
      </c>
      <c r="F17" s="146">
        <f t="shared" si="0"/>
        <v>49</v>
      </c>
      <c r="G17" s="148">
        <f t="shared" si="1"/>
        <v>37479</v>
      </c>
    </row>
    <row r="18" spans="1:7" ht="12.75">
      <c r="A18" s="146">
        <v>237</v>
      </c>
      <c r="B18" s="146">
        <v>49</v>
      </c>
      <c r="C18" s="146">
        <v>23</v>
      </c>
      <c r="D18" s="146">
        <v>27</v>
      </c>
      <c r="E18" s="146">
        <v>11</v>
      </c>
      <c r="F18" s="146">
        <f t="shared" si="0"/>
        <v>61</v>
      </c>
      <c r="G18" s="148">
        <f t="shared" si="1"/>
        <v>37494</v>
      </c>
    </row>
    <row r="19" spans="1:7" ht="12.75">
      <c r="A19" s="146">
        <v>252</v>
      </c>
      <c r="B19" s="146">
        <v>43</v>
      </c>
      <c r="C19" s="146">
        <v>24</v>
      </c>
      <c r="D19" s="146">
        <v>29</v>
      </c>
      <c r="E19" s="146">
        <v>14</v>
      </c>
      <c r="F19" s="146">
        <f t="shared" si="0"/>
        <v>67</v>
      </c>
      <c r="G19" s="148">
        <f t="shared" si="1"/>
        <v>37509</v>
      </c>
    </row>
    <row r="20" spans="1:7" ht="12.75">
      <c r="A20" s="146">
        <v>267</v>
      </c>
      <c r="B20" s="146">
        <v>42</v>
      </c>
      <c r="C20" s="146">
        <v>18</v>
      </c>
      <c r="D20" s="146">
        <v>36</v>
      </c>
      <c r="E20" s="146">
        <v>14</v>
      </c>
      <c r="F20" s="146">
        <f t="shared" si="0"/>
        <v>68</v>
      </c>
      <c r="G20" s="148">
        <f t="shared" si="1"/>
        <v>37524</v>
      </c>
    </row>
    <row r="21" spans="1:7" ht="12.75">
      <c r="A21" s="146">
        <v>282</v>
      </c>
      <c r="B21" s="146">
        <v>42</v>
      </c>
      <c r="C21" s="146">
        <v>14</v>
      </c>
      <c r="D21" s="146">
        <v>39</v>
      </c>
      <c r="E21" s="146">
        <v>15</v>
      </c>
      <c r="F21" s="146">
        <f t="shared" si="0"/>
        <v>68</v>
      </c>
      <c r="G21" s="148">
        <f t="shared" si="1"/>
        <v>37539</v>
      </c>
    </row>
    <row r="22" spans="1:7" ht="12.75">
      <c r="A22" s="146">
        <v>297</v>
      </c>
      <c r="B22" s="146">
        <v>43</v>
      </c>
      <c r="C22" s="146">
        <v>15</v>
      </c>
      <c r="D22" s="146">
        <v>33</v>
      </c>
      <c r="E22" s="146">
        <v>19</v>
      </c>
      <c r="F22" s="146">
        <f t="shared" si="0"/>
        <v>67</v>
      </c>
      <c r="G22" s="148">
        <f t="shared" si="1"/>
        <v>37554</v>
      </c>
    </row>
    <row r="27" ht="12.75">
      <c r="K27" s="145"/>
    </row>
    <row r="28" ht="12.75">
      <c r="K28" s="145"/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S247"/>
  <sheetViews>
    <sheetView workbookViewId="0" topLeftCell="A1">
      <pane xSplit="1" ySplit="1" topLeftCell="F1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7" sqref="F117"/>
    </sheetView>
  </sheetViews>
  <sheetFormatPr defaultColWidth="11.421875" defaultRowHeight="12.75"/>
  <cols>
    <col min="1" max="1" width="11.421875" style="3" customWidth="1"/>
    <col min="2" max="2" width="10.421875" style="3" customWidth="1"/>
    <col min="3" max="5" width="11.421875" style="2" customWidth="1"/>
    <col min="6" max="6" width="5.28125" style="2" customWidth="1"/>
    <col min="7" max="7" width="5.00390625" style="2" customWidth="1"/>
    <col min="8" max="8" width="11.421875" style="12" customWidth="1"/>
    <col min="9" max="9" width="11.421875" style="1" customWidth="1"/>
    <col min="10" max="10" width="11.421875" style="2" customWidth="1"/>
    <col min="11" max="11" width="13.140625" style="1" customWidth="1"/>
    <col min="12" max="12" width="13.421875" style="0" customWidth="1"/>
    <col min="13" max="13" width="11.7109375" style="0" customWidth="1"/>
    <col min="14" max="14" width="11.00390625" style="2" customWidth="1"/>
    <col min="15" max="15" width="10.421875" style="2" customWidth="1"/>
    <col min="16" max="16" width="11.8515625" style="2" customWidth="1"/>
    <col min="17" max="18" width="11.421875" style="2" customWidth="1"/>
  </cols>
  <sheetData>
    <row r="1" spans="1:18" ht="12.75">
      <c r="A1" s="3" t="s">
        <v>135</v>
      </c>
      <c r="C1" s="2" t="s">
        <v>136</v>
      </c>
      <c r="D1" s="2" t="s">
        <v>137</v>
      </c>
      <c r="E1" s="2" t="s">
        <v>138</v>
      </c>
      <c r="F1" s="185" t="s">
        <v>139</v>
      </c>
      <c r="G1" s="185"/>
      <c r="H1" s="12" t="s">
        <v>140</v>
      </c>
      <c r="I1" s="1" t="s">
        <v>141</v>
      </c>
      <c r="J1" s="2" t="s">
        <v>142</v>
      </c>
      <c r="K1" s="1" t="s">
        <v>143</v>
      </c>
      <c r="L1" t="s">
        <v>144</v>
      </c>
      <c r="M1" t="s">
        <v>222</v>
      </c>
      <c r="N1" s="2">
        <v>105.946</v>
      </c>
      <c r="O1" s="2">
        <v>15.461</v>
      </c>
      <c r="P1" s="2" t="s">
        <v>254</v>
      </c>
      <c r="Q1" s="2">
        <v>83.652</v>
      </c>
      <c r="R1" s="2">
        <v>22.018</v>
      </c>
    </row>
    <row r="2" spans="1:18" ht="15" customHeight="1">
      <c r="A2" s="6">
        <v>1</v>
      </c>
      <c r="B2" s="6"/>
      <c r="C2" s="2">
        <v>1952</v>
      </c>
      <c r="D2" s="2" t="s">
        <v>5</v>
      </c>
      <c r="E2" s="2" t="s">
        <v>6</v>
      </c>
      <c r="F2" s="2">
        <v>5</v>
      </c>
      <c r="G2" s="2">
        <v>34.5</v>
      </c>
      <c r="H2" s="12">
        <v>22.01</v>
      </c>
      <c r="I2" s="1">
        <v>8.4</v>
      </c>
      <c r="J2" s="2" t="s">
        <v>7</v>
      </c>
      <c r="K2" s="1">
        <v>6.3</v>
      </c>
      <c r="L2" t="s">
        <v>8</v>
      </c>
      <c r="N2" s="2">
        <v>142.26</v>
      </c>
      <c r="O2" s="2">
        <v>-9.941</v>
      </c>
      <c r="P2" s="2">
        <f>IF(AND(SQRT((AZpointee-N2)^2+(Hpointee-O2)^2)&lt;=RdR,SQRT((AZpointee-N2)^2+(Hpointee-O2)^2&lt;&gt;0)),"X","")</f>
      </c>
      <c r="Q2" s="2">
        <v>83.653</v>
      </c>
      <c r="R2" s="2">
        <v>22.379</v>
      </c>
    </row>
    <row r="3" spans="1:18" ht="12.75">
      <c r="A3" s="3">
        <v>2</v>
      </c>
      <c r="C3" s="2">
        <v>7089</v>
      </c>
      <c r="D3" s="2" t="s">
        <v>9</v>
      </c>
      <c r="E3" s="2" t="s">
        <v>10</v>
      </c>
      <c r="F3" s="2">
        <v>21</v>
      </c>
      <c r="G3" s="2">
        <v>33.5</v>
      </c>
      <c r="H3" s="12">
        <v>-0.49</v>
      </c>
      <c r="I3" s="1">
        <v>6.5</v>
      </c>
      <c r="J3" s="2">
        <v>12.9</v>
      </c>
      <c r="K3" s="1">
        <v>36.2</v>
      </c>
      <c r="N3" s="2">
        <v>262.387</v>
      </c>
      <c r="O3" s="2">
        <v>-7.191</v>
      </c>
      <c r="P3" s="2">
        <f aca="true" t="shared" si="0" ref="P3:P66">IF(AND(SQRT((AZpointee-N3)^2+(Hpointee-O3)^2)&lt;=RdR,SQRT((AZpointee-N3)^2+(Hpointee-O3)^2&lt;&gt;0)),"X","")</f>
      </c>
      <c r="Q3" s="2">
        <v>323.408</v>
      </c>
      <c r="R3" s="2">
        <v>-0.472</v>
      </c>
    </row>
    <row r="4" spans="1:18" ht="12.75">
      <c r="A4" s="5">
        <v>3</v>
      </c>
      <c r="B4" s="5"/>
      <c r="C4" s="2">
        <v>5272</v>
      </c>
      <c r="D4" s="2" t="s">
        <v>9</v>
      </c>
      <c r="E4" s="2" t="s">
        <v>11</v>
      </c>
      <c r="F4" s="2">
        <v>13</v>
      </c>
      <c r="G4" s="2">
        <v>42.2</v>
      </c>
      <c r="H4" s="12">
        <v>28.23</v>
      </c>
      <c r="I4" s="1">
        <v>6.2</v>
      </c>
      <c r="J4" s="2">
        <v>16.2</v>
      </c>
      <c r="K4" s="1">
        <v>30.6</v>
      </c>
      <c r="N4" s="2">
        <v>39.6</v>
      </c>
      <c r="O4" s="2">
        <v>65.721</v>
      </c>
      <c r="P4" s="2">
        <f t="shared" si="0"/>
      </c>
      <c r="Q4" s="2">
        <v>205.576</v>
      </c>
      <c r="R4" s="2">
        <v>28.693</v>
      </c>
    </row>
    <row r="5" spans="1:18" ht="12.75">
      <c r="A5" s="5">
        <v>4</v>
      </c>
      <c r="B5" s="5"/>
      <c r="C5" s="2">
        <v>6121</v>
      </c>
      <c r="D5" s="2" t="s">
        <v>9</v>
      </c>
      <c r="E5" s="2" t="s">
        <v>12</v>
      </c>
      <c r="F5" s="2">
        <v>16</v>
      </c>
      <c r="G5" s="2">
        <v>23.6</v>
      </c>
      <c r="H5" s="12">
        <v>-26.32</v>
      </c>
      <c r="I5" s="1">
        <v>5.6</v>
      </c>
      <c r="J5" s="2">
        <v>26.3</v>
      </c>
      <c r="K5" s="1">
        <v>6.8</v>
      </c>
      <c r="N5" s="2">
        <v>338.93</v>
      </c>
      <c r="O5" s="2">
        <v>12.35</v>
      </c>
      <c r="P5" s="2">
        <f t="shared" si="0"/>
      </c>
      <c r="Q5" s="2">
        <v>245.938</v>
      </c>
      <c r="R5" s="2">
        <v>-25.888</v>
      </c>
    </row>
    <row r="6" spans="1:18" ht="12.75">
      <c r="A6" s="5">
        <v>5</v>
      </c>
      <c r="B6" s="5"/>
      <c r="C6" s="2">
        <v>5904</v>
      </c>
      <c r="D6" s="2" t="s">
        <v>9</v>
      </c>
      <c r="E6" s="2" t="s">
        <v>205</v>
      </c>
      <c r="F6" s="2">
        <v>15</v>
      </c>
      <c r="G6" s="2">
        <v>18.6</v>
      </c>
      <c r="H6" s="12">
        <v>2.05</v>
      </c>
      <c r="I6" s="1">
        <v>5.6</v>
      </c>
      <c r="J6" s="2">
        <v>17.4</v>
      </c>
      <c r="K6" s="1">
        <v>22.8</v>
      </c>
      <c r="N6" s="2">
        <v>350.841</v>
      </c>
      <c r="O6" s="2">
        <v>42.724</v>
      </c>
      <c r="P6" s="2">
        <f t="shared" si="0"/>
      </c>
      <c r="Q6" s="2">
        <v>229.681</v>
      </c>
      <c r="R6" s="2">
        <v>2.077</v>
      </c>
    </row>
    <row r="7" spans="1:18" ht="12.75">
      <c r="A7" s="3">
        <v>6</v>
      </c>
      <c r="C7" s="2">
        <v>1</v>
      </c>
      <c r="D7" s="2" t="s">
        <v>13</v>
      </c>
      <c r="E7" s="2" t="s">
        <v>12</v>
      </c>
      <c r="F7" s="2">
        <v>17</v>
      </c>
      <c r="G7" s="2">
        <v>40.1</v>
      </c>
      <c r="H7" s="12">
        <v>-32.13</v>
      </c>
      <c r="I7" s="1">
        <v>5.3</v>
      </c>
      <c r="J7" s="2">
        <v>25</v>
      </c>
      <c r="K7" s="1">
        <v>2</v>
      </c>
      <c r="L7" t="s">
        <v>14</v>
      </c>
      <c r="N7" s="2">
        <v>325.165</v>
      </c>
      <c r="O7" s="2">
        <v>1.098</v>
      </c>
      <c r="P7" s="2">
        <f t="shared" si="0"/>
      </c>
      <c r="Q7" s="2">
        <v>265.067</v>
      </c>
      <c r="R7" s="2">
        <v>-31.597</v>
      </c>
    </row>
    <row r="8" spans="1:18" ht="12.75">
      <c r="A8" s="3">
        <v>7</v>
      </c>
      <c r="C8" s="2">
        <v>6475</v>
      </c>
      <c r="D8" s="2" t="s">
        <v>13</v>
      </c>
      <c r="E8" s="2" t="s">
        <v>12</v>
      </c>
      <c r="F8" s="2">
        <v>17</v>
      </c>
      <c r="G8" s="2">
        <v>53.9</v>
      </c>
      <c r="H8" s="12">
        <v>-34.49</v>
      </c>
      <c r="I8" s="1">
        <v>4.1</v>
      </c>
      <c r="J8" s="2">
        <v>80</v>
      </c>
      <c r="K8" s="1">
        <v>0.8</v>
      </c>
      <c r="L8" t="s">
        <v>15</v>
      </c>
      <c r="N8" s="2">
        <v>323.634</v>
      </c>
      <c r="O8" s="2">
        <v>-2.287</v>
      </c>
      <c r="P8" s="2" t="str">
        <f t="shared" si="0"/>
        <v>X</v>
      </c>
      <c r="Q8" s="2">
        <v>268.518</v>
      </c>
      <c r="R8" s="2">
        <v>-33.917</v>
      </c>
    </row>
    <row r="9" spans="1:18" ht="12.75">
      <c r="A9" s="5">
        <v>8</v>
      </c>
      <c r="B9" s="5"/>
      <c r="C9" s="2">
        <v>6523</v>
      </c>
      <c r="D9" s="2" t="s">
        <v>16</v>
      </c>
      <c r="E9" s="2" t="s">
        <v>17</v>
      </c>
      <c r="F9" s="2">
        <v>18</v>
      </c>
      <c r="G9" s="2">
        <v>3.8</v>
      </c>
      <c r="H9" s="12">
        <v>-24.23</v>
      </c>
      <c r="I9" s="1">
        <v>6</v>
      </c>
      <c r="J9" s="2" t="s">
        <v>18</v>
      </c>
      <c r="K9" s="1">
        <v>5.2</v>
      </c>
      <c r="L9" t="s">
        <v>19</v>
      </c>
      <c r="N9" s="2">
        <v>316.898</v>
      </c>
      <c r="O9" s="2">
        <v>5.536</v>
      </c>
      <c r="P9" s="2" t="str">
        <f t="shared" si="0"/>
        <v>X</v>
      </c>
      <c r="Q9" s="2">
        <v>270.989</v>
      </c>
      <c r="R9" s="2">
        <v>-23.827</v>
      </c>
    </row>
    <row r="10" spans="1:18" ht="12.75">
      <c r="A10" s="5">
        <v>9</v>
      </c>
      <c r="B10" s="5"/>
      <c r="C10" s="2">
        <v>6333</v>
      </c>
      <c r="D10" s="2" t="s">
        <v>9</v>
      </c>
      <c r="E10" s="2" t="s">
        <v>20</v>
      </c>
      <c r="F10" s="2">
        <v>17</v>
      </c>
      <c r="G10" s="2">
        <v>19.2</v>
      </c>
      <c r="H10" s="12">
        <v>-18.31</v>
      </c>
      <c r="I10" s="1">
        <v>7.7</v>
      </c>
      <c r="J10" s="2">
        <v>9.3</v>
      </c>
      <c r="K10" s="1">
        <v>26.4</v>
      </c>
      <c r="N10" s="2">
        <v>323.702</v>
      </c>
      <c r="O10" s="2">
        <v>15.413</v>
      </c>
      <c r="P10" s="2">
        <f t="shared" si="0"/>
      </c>
      <c r="Q10" s="2">
        <v>259.837</v>
      </c>
      <c r="R10" s="2">
        <v>-18.008</v>
      </c>
    </row>
    <row r="11" spans="1:18" ht="12.75">
      <c r="A11" s="3">
        <v>10</v>
      </c>
      <c r="C11" s="2">
        <v>6254</v>
      </c>
      <c r="D11" s="2" t="s">
        <v>9</v>
      </c>
      <c r="E11" s="2" t="s">
        <v>20</v>
      </c>
      <c r="F11" s="2">
        <v>16</v>
      </c>
      <c r="G11" s="2">
        <v>57.1</v>
      </c>
      <c r="H11" s="12">
        <v>-4.06</v>
      </c>
      <c r="I11" s="1">
        <v>6.6</v>
      </c>
      <c r="J11" s="2">
        <v>15.1</v>
      </c>
      <c r="K11" s="1">
        <v>13.4</v>
      </c>
      <c r="N11" s="2">
        <v>323</v>
      </c>
      <c r="O11" s="2">
        <v>30.42</v>
      </c>
      <c r="P11" s="2">
        <f t="shared" si="0"/>
      </c>
      <c r="Q11" s="2">
        <v>254.309</v>
      </c>
      <c r="R11" s="2">
        <v>-3.996</v>
      </c>
    </row>
    <row r="12" spans="3:18" ht="12.75">
      <c r="C12" s="2">
        <v>6705</v>
      </c>
      <c r="D12" s="2" t="s">
        <v>13</v>
      </c>
      <c r="E12" s="2" t="s">
        <v>21</v>
      </c>
      <c r="F12" s="2">
        <v>18</v>
      </c>
      <c r="G12" s="2">
        <v>51.1</v>
      </c>
      <c r="H12" s="12">
        <v>-6.16</v>
      </c>
      <c r="I12" s="1">
        <v>6.3</v>
      </c>
      <c r="J12" s="2">
        <v>14</v>
      </c>
      <c r="K12" s="1">
        <v>6</v>
      </c>
      <c r="L12" t="s">
        <v>22</v>
      </c>
      <c r="N12" s="2">
        <v>297.423</v>
      </c>
      <c r="O12" s="2">
        <v>14.364</v>
      </c>
      <c r="P12" s="2">
        <f t="shared" si="0"/>
      </c>
      <c r="Q12" s="2">
        <v>282.81</v>
      </c>
      <c r="R12" s="2">
        <v>-6.054</v>
      </c>
    </row>
    <row r="13" spans="1:18" ht="12.75">
      <c r="A13" s="5">
        <v>12</v>
      </c>
      <c r="B13" s="5"/>
      <c r="C13" s="2">
        <v>6218</v>
      </c>
      <c r="D13" s="2" t="s">
        <v>9</v>
      </c>
      <c r="E13" s="2" t="s">
        <v>20</v>
      </c>
      <c r="F13" s="2">
        <v>16</v>
      </c>
      <c r="G13" s="2">
        <v>47.2</v>
      </c>
      <c r="H13" s="12">
        <v>-1.57</v>
      </c>
      <c r="I13" s="1">
        <v>6.7</v>
      </c>
      <c r="J13" s="2">
        <v>14.5</v>
      </c>
      <c r="K13" s="1">
        <v>17.6</v>
      </c>
      <c r="N13" s="2">
        <v>324.567</v>
      </c>
      <c r="O13" s="2">
        <v>33.636</v>
      </c>
      <c r="P13" s="2">
        <f t="shared" si="0"/>
      </c>
      <c r="Q13" s="2">
        <v>251.833</v>
      </c>
      <c r="R13" s="2">
        <v>-1.548</v>
      </c>
    </row>
    <row r="14" spans="1:18" ht="12.75">
      <c r="A14" s="5">
        <v>13</v>
      </c>
      <c r="B14" s="5"/>
      <c r="C14" s="2">
        <v>6205</v>
      </c>
      <c r="D14" s="2" t="s">
        <v>9</v>
      </c>
      <c r="E14" s="2" t="s">
        <v>23</v>
      </c>
      <c r="F14" s="2">
        <v>16</v>
      </c>
      <c r="G14" s="2">
        <v>41.7</v>
      </c>
      <c r="H14" s="12">
        <v>36.28</v>
      </c>
      <c r="I14" s="1">
        <v>5.8</v>
      </c>
      <c r="J14" s="2">
        <v>16.6</v>
      </c>
      <c r="K14" s="1">
        <v>22.8</v>
      </c>
      <c r="L14" t="s">
        <v>24</v>
      </c>
      <c r="N14" s="2">
        <v>291.004</v>
      </c>
      <c r="O14" s="2">
        <v>66.704</v>
      </c>
      <c r="P14" s="2">
        <f t="shared" si="0"/>
      </c>
      <c r="Q14" s="2">
        <v>250.45</v>
      </c>
      <c r="R14" s="2">
        <v>36.883</v>
      </c>
    </row>
    <row r="15" spans="1:18" ht="12.75">
      <c r="A15" s="3">
        <v>14</v>
      </c>
      <c r="C15" s="2">
        <v>6402</v>
      </c>
      <c r="D15" s="2" t="s">
        <v>9</v>
      </c>
      <c r="E15" s="2" t="s">
        <v>20</v>
      </c>
      <c r="F15" s="2">
        <v>17</v>
      </c>
      <c r="G15" s="2">
        <v>37.6</v>
      </c>
      <c r="H15" s="12">
        <v>-3.15</v>
      </c>
      <c r="I15" s="1">
        <v>7.6</v>
      </c>
      <c r="J15" s="2">
        <v>11.7</v>
      </c>
      <c r="K15" s="1">
        <v>27.4</v>
      </c>
      <c r="N15" s="2">
        <v>312.223</v>
      </c>
      <c r="O15" s="2">
        <v>26.747</v>
      </c>
      <c r="P15" s="2">
        <f t="shared" si="0"/>
      </c>
      <c r="Q15" s="2">
        <v>264.434</v>
      </c>
      <c r="R15" s="2">
        <v>-3.099</v>
      </c>
    </row>
    <row r="16" spans="1:18" ht="12.75">
      <c r="A16" s="5">
        <v>15</v>
      </c>
      <c r="B16" s="5"/>
      <c r="C16" s="2">
        <v>7078</v>
      </c>
      <c r="D16" s="2" t="s">
        <v>9</v>
      </c>
      <c r="E16" s="2" t="s">
        <v>25</v>
      </c>
      <c r="F16" s="2">
        <v>21</v>
      </c>
      <c r="G16" s="2">
        <v>30</v>
      </c>
      <c r="H16" s="12">
        <v>12.1</v>
      </c>
      <c r="I16" s="1">
        <v>6.2</v>
      </c>
      <c r="J16" s="2">
        <v>12.3</v>
      </c>
      <c r="K16" s="1">
        <v>32.6</v>
      </c>
      <c r="N16" s="2">
        <v>254.76</v>
      </c>
      <c r="O16" s="2">
        <v>3.116</v>
      </c>
      <c r="P16" s="2">
        <f t="shared" si="0"/>
      </c>
      <c r="Q16" s="2">
        <v>322.531</v>
      </c>
      <c r="R16" s="2">
        <v>12.311</v>
      </c>
    </row>
    <row r="17" spans="1:18" ht="12.75">
      <c r="A17" s="5">
        <v>16</v>
      </c>
      <c r="B17" s="5"/>
      <c r="C17" s="2">
        <v>6611</v>
      </c>
      <c r="D17" s="2" t="s">
        <v>13</v>
      </c>
      <c r="E17" s="2" t="s">
        <v>205</v>
      </c>
      <c r="F17" s="2">
        <v>18</v>
      </c>
      <c r="G17" s="2">
        <v>18.8</v>
      </c>
      <c r="H17" s="12">
        <v>-13.47</v>
      </c>
      <c r="I17" s="1">
        <v>6.4</v>
      </c>
      <c r="J17" s="2">
        <v>7</v>
      </c>
      <c r="K17" s="1">
        <v>7</v>
      </c>
      <c r="N17" s="2">
        <v>308.343</v>
      </c>
      <c r="O17" s="2">
        <v>12.839</v>
      </c>
      <c r="P17" s="2" t="str">
        <f t="shared" si="0"/>
        <v>X</v>
      </c>
      <c r="Q17" s="2">
        <v>274.737</v>
      </c>
      <c r="R17" s="2">
        <v>-13.245</v>
      </c>
    </row>
    <row r="18" spans="1:18" ht="12.75">
      <c r="A18" s="5">
        <v>17</v>
      </c>
      <c r="B18" s="5"/>
      <c r="C18" s="2">
        <v>6618</v>
      </c>
      <c r="D18" s="2" t="s">
        <v>16</v>
      </c>
      <c r="E18" s="2" t="s">
        <v>17</v>
      </c>
      <c r="F18" s="2">
        <v>18</v>
      </c>
      <c r="G18" s="2">
        <v>20.8</v>
      </c>
      <c r="H18" s="12">
        <v>-16.11</v>
      </c>
      <c r="I18" s="1">
        <v>7</v>
      </c>
      <c r="J18" s="2">
        <v>11</v>
      </c>
      <c r="K18" s="1">
        <v>5</v>
      </c>
      <c r="L18" t="s">
        <v>26</v>
      </c>
      <c r="N18" s="2">
        <v>309.322</v>
      </c>
      <c r="O18" s="2">
        <v>10.379</v>
      </c>
      <c r="P18" s="2" t="str">
        <f t="shared" si="0"/>
        <v>X</v>
      </c>
      <c r="Q18" s="2">
        <v>275.237</v>
      </c>
      <c r="R18" s="2">
        <v>-15.841</v>
      </c>
    </row>
    <row r="19" spans="1:18" ht="12.75">
      <c r="A19" s="3">
        <v>18</v>
      </c>
      <c r="C19" s="2">
        <v>6613</v>
      </c>
      <c r="D19" s="2" t="s">
        <v>13</v>
      </c>
      <c r="E19" s="2" t="s">
        <v>17</v>
      </c>
      <c r="F19" s="2">
        <v>18</v>
      </c>
      <c r="G19" s="2">
        <v>19.9</v>
      </c>
      <c r="H19" s="12">
        <v>-17.08</v>
      </c>
      <c r="I19" s="1">
        <v>7.5</v>
      </c>
      <c r="J19" s="2">
        <v>9</v>
      </c>
      <c r="K19" s="1">
        <v>4.9</v>
      </c>
      <c r="N19" s="2">
        <v>310.018</v>
      </c>
      <c r="O19" s="2">
        <v>9.681</v>
      </c>
      <c r="P19" s="2" t="str">
        <f t="shared" si="0"/>
        <v>X</v>
      </c>
      <c r="Q19" s="2">
        <v>275.013</v>
      </c>
      <c r="R19" s="2">
        <v>-16.795</v>
      </c>
    </row>
    <row r="20" spans="1:18" ht="12.75">
      <c r="A20" s="5">
        <v>19</v>
      </c>
      <c r="B20" s="5"/>
      <c r="C20" s="2">
        <v>6273</v>
      </c>
      <c r="D20" s="2" t="s">
        <v>9</v>
      </c>
      <c r="E20" s="2" t="s">
        <v>20</v>
      </c>
      <c r="F20" s="2">
        <v>17</v>
      </c>
      <c r="G20" s="2">
        <v>2.6</v>
      </c>
      <c r="H20" s="12">
        <v>-26.16</v>
      </c>
      <c r="I20" s="1">
        <v>6.8</v>
      </c>
      <c r="J20" s="2">
        <v>13.5</v>
      </c>
      <c r="K20" s="1">
        <v>27.1</v>
      </c>
      <c r="N20" s="2">
        <v>330.382</v>
      </c>
      <c r="O20" s="2">
        <v>9.763</v>
      </c>
      <c r="P20" s="2">
        <f t="shared" si="0"/>
      </c>
      <c r="Q20" s="2">
        <v>255.689</v>
      </c>
      <c r="R20" s="2">
        <v>-25.728</v>
      </c>
    </row>
    <row r="21" spans="1:18" ht="12.75">
      <c r="A21" s="5">
        <v>20</v>
      </c>
      <c r="B21" s="5"/>
      <c r="C21" s="2">
        <v>6514</v>
      </c>
      <c r="D21" s="2" t="s">
        <v>16</v>
      </c>
      <c r="E21" s="2" t="s">
        <v>17</v>
      </c>
      <c r="F21" s="2">
        <v>18</v>
      </c>
      <c r="G21" s="2">
        <v>2.6</v>
      </c>
      <c r="H21" s="12">
        <v>-23.02</v>
      </c>
      <c r="I21" s="1">
        <v>9</v>
      </c>
      <c r="J21" s="2">
        <v>28</v>
      </c>
      <c r="K21" s="1">
        <v>5.2</v>
      </c>
      <c r="L21" t="s">
        <v>27</v>
      </c>
      <c r="N21" s="2">
        <v>316.554</v>
      </c>
      <c r="O21" s="2">
        <v>6.709</v>
      </c>
      <c r="P21" s="2" t="str">
        <f t="shared" si="0"/>
        <v>X</v>
      </c>
      <c r="Q21" s="2">
        <v>270.689</v>
      </c>
      <c r="R21" s="2">
        <v>-22.637</v>
      </c>
    </row>
    <row r="22" spans="1:18" ht="12.75">
      <c r="A22" s="3">
        <v>21</v>
      </c>
      <c r="C22" s="2">
        <v>6531</v>
      </c>
      <c r="D22" s="2" t="s">
        <v>13</v>
      </c>
      <c r="E22" s="2" t="s">
        <v>17</v>
      </c>
      <c r="F22" s="2">
        <v>18</v>
      </c>
      <c r="G22" s="2">
        <v>4.6</v>
      </c>
      <c r="H22" s="12">
        <v>-22.3</v>
      </c>
      <c r="I22" s="1">
        <v>6.5</v>
      </c>
      <c r="J22" s="2">
        <v>13</v>
      </c>
      <c r="K22" s="1">
        <v>4.25</v>
      </c>
      <c r="N22" s="2">
        <v>315.798</v>
      </c>
      <c r="O22" s="2">
        <v>7.099</v>
      </c>
      <c r="P22" s="2" t="str">
        <f t="shared" si="0"/>
        <v>X</v>
      </c>
      <c r="Q22" s="2">
        <v>271.189</v>
      </c>
      <c r="R22" s="2">
        <v>-21.929</v>
      </c>
    </row>
    <row r="23" spans="1:18" ht="12.75">
      <c r="A23" s="5">
        <v>22</v>
      </c>
      <c r="B23" s="5"/>
      <c r="C23" s="2">
        <v>6656</v>
      </c>
      <c r="D23" s="2" t="s">
        <v>9</v>
      </c>
      <c r="E23" s="2" t="s">
        <v>17</v>
      </c>
      <c r="F23" s="2">
        <v>18</v>
      </c>
      <c r="G23" s="2">
        <v>36.4</v>
      </c>
      <c r="H23" s="12">
        <v>-23.54</v>
      </c>
      <c r="I23" s="1">
        <v>5.1</v>
      </c>
      <c r="J23" s="2">
        <v>24</v>
      </c>
      <c r="K23" s="1">
        <v>10.1</v>
      </c>
      <c r="N23" s="2">
        <v>310.138</v>
      </c>
      <c r="O23" s="2">
        <v>2.242</v>
      </c>
      <c r="P23" s="2">
        <f t="shared" si="0"/>
      </c>
      <c r="Q23" s="2">
        <v>279.139</v>
      </c>
      <c r="R23" s="2">
        <v>-23.146</v>
      </c>
    </row>
    <row r="24" spans="1:18" ht="12.75">
      <c r="A24" s="3">
        <v>23</v>
      </c>
      <c r="C24" s="2">
        <v>6494</v>
      </c>
      <c r="D24" s="2" t="s">
        <v>13</v>
      </c>
      <c r="E24" s="2" t="s">
        <v>17</v>
      </c>
      <c r="F24" s="2">
        <v>17</v>
      </c>
      <c r="G24" s="2">
        <v>56.8</v>
      </c>
      <c r="H24" s="12">
        <v>-19.01</v>
      </c>
      <c r="I24" s="1">
        <v>6.9</v>
      </c>
      <c r="J24" s="2">
        <v>27</v>
      </c>
      <c r="K24" s="1">
        <v>2.15</v>
      </c>
      <c r="N24" s="2">
        <v>315.818</v>
      </c>
      <c r="O24" s="2">
        <v>10.815</v>
      </c>
      <c r="P24" s="2" t="str">
        <f t="shared" si="0"/>
        <v>X</v>
      </c>
      <c r="Q24" s="2">
        <v>269.238</v>
      </c>
      <c r="R24" s="2">
        <v>-18.694</v>
      </c>
    </row>
    <row r="25" spans="1:18" ht="12.75">
      <c r="A25" s="3">
        <v>24</v>
      </c>
      <c r="C25" s="2">
        <v>6603</v>
      </c>
      <c r="D25" s="2" t="s">
        <v>28</v>
      </c>
      <c r="E25" s="2" t="s">
        <v>17</v>
      </c>
      <c r="F25" s="2">
        <v>18</v>
      </c>
      <c r="G25" s="2">
        <v>16.9</v>
      </c>
      <c r="H25" s="12">
        <v>-18.29</v>
      </c>
      <c r="I25" s="1">
        <v>4.6</v>
      </c>
      <c r="J25" s="2">
        <v>90</v>
      </c>
      <c r="K25" s="1">
        <v>10</v>
      </c>
      <c r="L25" t="s">
        <v>29</v>
      </c>
      <c r="N25" s="2">
        <v>311.266</v>
      </c>
      <c r="O25" s="2">
        <v>9.039</v>
      </c>
      <c r="P25" s="2" t="str">
        <f t="shared" si="0"/>
        <v>X</v>
      </c>
      <c r="Q25" s="2">
        <v>274.263</v>
      </c>
      <c r="R25" s="2">
        <v>-17.985</v>
      </c>
    </row>
    <row r="26" spans="1:18" ht="12.75">
      <c r="A26" s="3">
        <v>25</v>
      </c>
      <c r="C26" s="2" t="s">
        <v>30</v>
      </c>
      <c r="D26" s="2" t="s">
        <v>13</v>
      </c>
      <c r="E26" s="2" t="s">
        <v>17</v>
      </c>
      <c r="F26" s="2">
        <v>18</v>
      </c>
      <c r="G26" s="2">
        <v>31.6</v>
      </c>
      <c r="H26" s="12">
        <v>-19.15</v>
      </c>
      <c r="I26" s="1">
        <v>6.5</v>
      </c>
      <c r="J26" s="2">
        <v>40</v>
      </c>
      <c r="K26" s="1">
        <v>2</v>
      </c>
      <c r="N26" s="2">
        <v>308.732</v>
      </c>
      <c r="O26" s="2">
        <v>6.476</v>
      </c>
      <c r="P26" s="2" t="str">
        <f t="shared" si="0"/>
        <v>X</v>
      </c>
      <c r="Q26" s="2">
        <v>277.938</v>
      </c>
      <c r="R26" s="2">
        <v>-18.829</v>
      </c>
    </row>
    <row r="27" spans="1:18" ht="12.75">
      <c r="A27" s="3">
        <v>26</v>
      </c>
      <c r="C27" s="2">
        <v>6694</v>
      </c>
      <c r="D27" s="2" t="s">
        <v>13</v>
      </c>
      <c r="E27" s="2" t="s">
        <v>21</v>
      </c>
      <c r="F27" s="2">
        <v>18</v>
      </c>
      <c r="G27" s="2">
        <v>45.2</v>
      </c>
      <c r="H27" s="12">
        <v>-9.24</v>
      </c>
      <c r="I27" s="1">
        <v>8</v>
      </c>
      <c r="J27" s="2">
        <v>15</v>
      </c>
      <c r="K27" s="1">
        <v>5</v>
      </c>
      <c r="N27" s="2">
        <v>300.453</v>
      </c>
      <c r="O27" s="2">
        <v>12.741</v>
      </c>
      <c r="P27" s="2" t="str">
        <f t="shared" si="0"/>
        <v>X</v>
      </c>
      <c r="Q27" s="2">
        <v>281.336</v>
      </c>
      <c r="R27" s="2">
        <v>-9.084</v>
      </c>
    </row>
    <row r="28" spans="1:18" ht="12.75">
      <c r="A28" s="4">
        <v>27</v>
      </c>
      <c r="B28" s="4"/>
      <c r="C28" s="2">
        <v>6853</v>
      </c>
      <c r="D28" s="2" t="s">
        <v>31</v>
      </c>
      <c r="E28" s="2" t="s">
        <v>32</v>
      </c>
      <c r="F28" s="2">
        <v>19</v>
      </c>
      <c r="G28" s="2">
        <v>59.6</v>
      </c>
      <c r="H28" s="12">
        <v>22.43</v>
      </c>
      <c r="I28" s="1">
        <v>7.4</v>
      </c>
      <c r="J28" s="2" t="s">
        <v>33</v>
      </c>
      <c r="K28" s="1" t="s">
        <v>34</v>
      </c>
      <c r="L28" t="s">
        <v>35</v>
      </c>
      <c r="N28" s="2">
        <v>263.806</v>
      </c>
      <c r="O28" s="2">
        <v>25.4</v>
      </c>
      <c r="P28" s="2">
        <f t="shared" si="0"/>
      </c>
      <c r="Q28" s="2">
        <v>299.93</v>
      </c>
      <c r="R28" s="2">
        <v>22.81</v>
      </c>
    </row>
    <row r="29" spans="1:18" ht="12.75">
      <c r="A29" s="5">
        <v>28</v>
      </c>
      <c r="B29" s="5"/>
      <c r="C29" s="2">
        <v>6626</v>
      </c>
      <c r="D29" s="2" t="s">
        <v>9</v>
      </c>
      <c r="E29" s="2" t="s">
        <v>17</v>
      </c>
      <c r="F29" s="2">
        <v>18</v>
      </c>
      <c r="G29" s="2">
        <v>24.5</v>
      </c>
      <c r="H29" s="12">
        <v>-24.52</v>
      </c>
      <c r="I29" s="1">
        <v>6.8</v>
      </c>
      <c r="J29" s="2">
        <v>11.2</v>
      </c>
      <c r="K29" s="1">
        <v>17.9</v>
      </c>
      <c r="N29" s="2">
        <v>312.959</v>
      </c>
      <c r="O29" s="2">
        <v>2.888</v>
      </c>
      <c r="P29" s="2" t="str">
        <f t="shared" si="0"/>
        <v>X</v>
      </c>
      <c r="Q29" s="2">
        <v>276.165</v>
      </c>
      <c r="R29" s="2">
        <v>-24.11</v>
      </c>
    </row>
    <row r="30" spans="1:18" ht="12.75">
      <c r="A30" s="5">
        <v>29</v>
      </c>
      <c r="B30" s="5"/>
      <c r="C30" s="2">
        <v>6913</v>
      </c>
      <c r="D30" s="2" t="s">
        <v>13</v>
      </c>
      <c r="E30" s="2" t="s">
        <v>36</v>
      </c>
      <c r="F30" s="2">
        <v>20</v>
      </c>
      <c r="G30" s="2">
        <v>23.9</v>
      </c>
      <c r="H30" s="12">
        <v>38.32</v>
      </c>
      <c r="I30" s="1">
        <v>7.1</v>
      </c>
      <c r="J30" s="2">
        <v>7</v>
      </c>
      <c r="K30" s="1">
        <v>4</v>
      </c>
      <c r="N30" s="2">
        <v>246.134</v>
      </c>
      <c r="O30" s="2">
        <v>32.439</v>
      </c>
      <c r="P30" s="2">
        <f t="shared" si="0"/>
      </c>
      <c r="Q30" s="2">
        <v>306.002</v>
      </c>
      <c r="R30" s="2">
        <v>38.965</v>
      </c>
    </row>
    <row r="31" spans="1:18" ht="12.75">
      <c r="A31" s="5">
        <v>30</v>
      </c>
      <c r="B31" s="5"/>
      <c r="C31" s="2">
        <v>7099</v>
      </c>
      <c r="D31" s="2" t="s">
        <v>9</v>
      </c>
      <c r="E31" s="2" t="s">
        <v>37</v>
      </c>
      <c r="F31" s="2">
        <v>21</v>
      </c>
      <c r="G31" s="2">
        <v>40.4</v>
      </c>
      <c r="H31" s="12">
        <v>-23.11</v>
      </c>
      <c r="I31" s="1">
        <v>7.2</v>
      </c>
      <c r="J31" s="2">
        <v>11</v>
      </c>
      <c r="K31" s="1">
        <v>24.8</v>
      </c>
      <c r="N31" s="2">
        <v>276.735</v>
      </c>
      <c r="O31" s="2">
        <v>-24.774</v>
      </c>
      <c r="P31" s="2">
        <f t="shared" si="0"/>
      </c>
      <c r="Q31" s="2">
        <v>325.136</v>
      </c>
      <c r="R31" s="2">
        <v>-22.713</v>
      </c>
    </row>
    <row r="32" spans="1:18" ht="12.75">
      <c r="A32" s="3">
        <v>31</v>
      </c>
      <c r="C32" s="2">
        <v>224</v>
      </c>
      <c r="D32" s="2" t="s">
        <v>38</v>
      </c>
      <c r="E32" s="2" t="s">
        <v>39</v>
      </c>
      <c r="F32" s="2">
        <v>0</v>
      </c>
      <c r="G32" s="2">
        <v>42.7</v>
      </c>
      <c r="H32" s="12">
        <v>41.16</v>
      </c>
      <c r="I32" s="1">
        <v>3.4</v>
      </c>
      <c r="J32" s="2" t="s">
        <v>40</v>
      </c>
      <c r="K32" s="1" t="s">
        <v>41</v>
      </c>
      <c r="L32" t="s">
        <v>42</v>
      </c>
      <c r="N32" s="2">
        <v>203.524</v>
      </c>
      <c r="O32" s="2">
        <v>5.183</v>
      </c>
      <c r="P32" s="2">
        <f t="shared" si="0"/>
      </c>
      <c r="Q32" s="2">
        <v>10.706</v>
      </c>
      <c r="R32" s="2">
        <v>41.855</v>
      </c>
    </row>
    <row r="33" spans="1:19" ht="12.75">
      <c r="A33" s="5">
        <v>32</v>
      </c>
      <c r="B33" s="5"/>
      <c r="C33" s="2">
        <v>221</v>
      </c>
      <c r="D33" s="2" t="s">
        <v>43</v>
      </c>
      <c r="E33" s="2" t="s">
        <v>39</v>
      </c>
      <c r="F33" s="2">
        <v>0</v>
      </c>
      <c r="G33" s="2">
        <v>42.7</v>
      </c>
      <c r="H33" s="12">
        <v>40.52</v>
      </c>
      <c r="I33" s="1">
        <v>8.1</v>
      </c>
      <c r="J33" s="2" t="s">
        <v>44</v>
      </c>
      <c r="K33" s="1">
        <v>2900</v>
      </c>
      <c r="L33" t="s">
        <v>45</v>
      </c>
      <c r="N33" s="2">
        <v>203.754</v>
      </c>
      <c r="O33" s="2">
        <v>4.574</v>
      </c>
      <c r="P33" s="2">
        <f t="shared" si="0"/>
      </c>
      <c r="Q33" s="2">
        <v>10.706</v>
      </c>
      <c r="R33" s="2">
        <v>41.204</v>
      </c>
      <c r="S33" s="100"/>
    </row>
    <row r="34" spans="1:18" ht="12.75">
      <c r="A34" s="3">
        <v>33</v>
      </c>
      <c r="C34" s="2">
        <v>598</v>
      </c>
      <c r="D34" s="2" t="s">
        <v>38</v>
      </c>
      <c r="E34" s="2" t="s">
        <v>46</v>
      </c>
      <c r="F34" s="2">
        <v>1</v>
      </c>
      <c r="G34" s="2">
        <v>33.9</v>
      </c>
      <c r="H34" s="12">
        <v>30.39</v>
      </c>
      <c r="I34" s="1">
        <v>5.7</v>
      </c>
      <c r="J34" s="2" t="s">
        <v>47</v>
      </c>
      <c r="K34" s="1">
        <v>3000</v>
      </c>
      <c r="L34" t="s">
        <v>48</v>
      </c>
      <c r="N34" s="2">
        <v>196.783</v>
      </c>
      <c r="O34" s="2">
        <v>-8.229</v>
      </c>
      <c r="P34" s="2">
        <f t="shared" si="0"/>
      </c>
      <c r="Q34" s="2">
        <v>23.505</v>
      </c>
      <c r="R34" s="2">
        <v>30.906</v>
      </c>
    </row>
    <row r="35" spans="1:18" ht="12.75">
      <c r="A35" s="3">
        <v>34</v>
      </c>
      <c r="C35" s="2">
        <v>1039</v>
      </c>
      <c r="D35" s="2" t="s">
        <v>13</v>
      </c>
      <c r="E35" s="2" t="s">
        <v>49</v>
      </c>
      <c r="F35" s="2">
        <v>2</v>
      </c>
      <c r="G35" s="2">
        <v>42</v>
      </c>
      <c r="H35" s="12">
        <v>42.47</v>
      </c>
      <c r="I35" s="1">
        <v>5.5</v>
      </c>
      <c r="J35" s="2">
        <v>35</v>
      </c>
      <c r="K35" s="1">
        <v>1.4</v>
      </c>
      <c r="N35" s="2">
        <v>181.772</v>
      </c>
      <c r="O35" s="2">
        <v>2.209</v>
      </c>
      <c r="P35" s="2">
        <f t="shared" si="0"/>
      </c>
      <c r="Q35" s="2">
        <v>40.532</v>
      </c>
      <c r="R35" s="2">
        <v>43.185</v>
      </c>
    </row>
    <row r="36" spans="1:18" ht="12.75">
      <c r="A36" s="3">
        <v>35</v>
      </c>
      <c r="C36" s="2">
        <v>2168</v>
      </c>
      <c r="D36" s="2" t="s">
        <v>13</v>
      </c>
      <c r="E36" s="2" t="s">
        <v>50</v>
      </c>
      <c r="F36" s="2">
        <v>6</v>
      </c>
      <c r="G36" s="2">
        <v>8.9</v>
      </c>
      <c r="H36" s="12">
        <v>24.2</v>
      </c>
      <c r="I36" s="1">
        <v>5.3</v>
      </c>
      <c r="J36" s="2">
        <v>28</v>
      </c>
      <c r="K36" s="1">
        <v>2.8</v>
      </c>
      <c r="N36" s="2">
        <v>136.278</v>
      </c>
      <c r="O36" s="2">
        <v>-4.291</v>
      </c>
      <c r="P36" s="2">
        <f t="shared" si="0"/>
      </c>
      <c r="Q36" s="2">
        <v>92.253</v>
      </c>
      <c r="R36" s="2">
        <v>24.604</v>
      </c>
    </row>
    <row r="37" spans="1:18" ht="12.75">
      <c r="A37" s="4">
        <v>36</v>
      </c>
      <c r="B37" s="4"/>
      <c r="C37" s="2">
        <v>1960</v>
      </c>
      <c r="D37" s="2" t="s">
        <v>13</v>
      </c>
      <c r="E37" s="2" t="s">
        <v>51</v>
      </c>
      <c r="F37" s="2">
        <v>5</v>
      </c>
      <c r="G37" s="2">
        <v>36.1</v>
      </c>
      <c r="H37" s="12">
        <v>34.08</v>
      </c>
      <c r="I37" s="1">
        <v>6.3</v>
      </c>
      <c r="J37" s="2">
        <v>12</v>
      </c>
      <c r="K37" s="1">
        <v>4.1</v>
      </c>
      <c r="N37" s="2">
        <v>147.257</v>
      </c>
      <c r="O37" s="2">
        <v>1.281</v>
      </c>
      <c r="P37" s="2">
        <f t="shared" si="0"/>
      </c>
      <c r="Q37" s="2">
        <v>84.055</v>
      </c>
      <c r="R37" s="2">
        <v>34.649</v>
      </c>
    </row>
    <row r="38" spans="1:18" ht="12.75">
      <c r="A38" s="4">
        <v>37</v>
      </c>
      <c r="B38" s="4"/>
      <c r="C38" s="2">
        <v>2099</v>
      </c>
      <c r="D38" s="2" t="s">
        <v>13</v>
      </c>
      <c r="E38" s="2" t="s">
        <v>51</v>
      </c>
      <c r="F38" s="2">
        <v>5</v>
      </c>
      <c r="G38" s="2">
        <v>52.4</v>
      </c>
      <c r="H38" s="12">
        <v>32.33</v>
      </c>
      <c r="I38" s="1">
        <v>6.2</v>
      </c>
      <c r="J38" s="2">
        <v>24</v>
      </c>
      <c r="K38" s="1">
        <v>4.4</v>
      </c>
      <c r="N38" s="2">
        <v>143.431</v>
      </c>
      <c r="O38" s="2">
        <v>1.21</v>
      </c>
      <c r="P38" s="2">
        <f t="shared" si="0"/>
      </c>
      <c r="Q38" s="2">
        <v>88.13</v>
      </c>
      <c r="R38" s="2">
        <v>32.869</v>
      </c>
    </row>
    <row r="39" spans="1:18" ht="12.75">
      <c r="A39" s="4">
        <v>38</v>
      </c>
      <c r="B39" s="4"/>
      <c r="C39" s="2">
        <v>1912</v>
      </c>
      <c r="D39" s="2" t="s">
        <v>13</v>
      </c>
      <c r="E39" s="2" t="s">
        <v>51</v>
      </c>
      <c r="F39" s="2">
        <v>5</v>
      </c>
      <c r="G39" s="2">
        <v>28.4</v>
      </c>
      <c r="H39" s="12">
        <v>35.5</v>
      </c>
      <c r="I39" s="1">
        <v>7.4</v>
      </c>
      <c r="J39" s="2">
        <v>21</v>
      </c>
      <c r="K39" s="1">
        <v>4.2</v>
      </c>
      <c r="N39" s="2">
        <v>149.291</v>
      </c>
      <c r="O39" s="2">
        <v>1.925</v>
      </c>
      <c r="P39" s="2">
        <f t="shared" si="0"/>
      </c>
      <c r="Q39" s="2">
        <v>82.131</v>
      </c>
      <c r="R39" s="2">
        <v>36.093</v>
      </c>
    </row>
    <row r="40" spans="1:18" ht="12.75">
      <c r="A40" s="3">
        <v>39</v>
      </c>
      <c r="C40" s="2">
        <v>7092</v>
      </c>
      <c r="D40" s="2" t="s">
        <v>13</v>
      </c>
      <c r="E40" s="2" t="s">
        <v>36</v>
      </c>
      <c r="F40" s="2">
        <v>21</v>
      </c>
      <c r="G40" s="2">
        <v>32.2</v>
      </c>
      <c r="H40" s="12">
        <v>48.26</v>
      </c>
      <c r="I40" s="1">
        <v>5.2</v>
      </c>
      <c r="J40" s="2">
        <v>32</v>
      </c>
      <c r="K40" s="1">
        <v>0.825</v>
      </c>
      <c r="N40" s="2">
        <v>227.911</v>
      </c>
      <c r="O40" s="2">
        <v>29.651</v>
      </c>
      <c r="P40" s="2">
        <f t="shared" si="0"/>
      </c>
      <c r="Q40" s="2">
        <v>323.076</v>
      </c>
      <c r="R40" s="2">
        <v>49.072</v>
      </c>
    </row>
    <row r="41" spans="1:18" ht="12.75">
      <c r="A41" s="3">
        <v>40</v>
      </c>
      <c r="C41" s="2" t="s">
        <v>148</v>
      </c>
      <c r="D41" s="2" t="s">
        <v>52</v>
      </c>
      <c r="E41" s="2" t="s">
        <v>53</v>
      </c>
      <c r="F41" s="2">
        <v>12</v>
      </c>
      <c r="G41" s="2">
        <v>22.4</v>
      </c>
      <c r="H41" s="12">
        <v>58.05</v>
      </c>
      <c r="I41" s="1">
        <v>8.4</v>
      </c>
      <c r="J41" s="2">
        <v>0.8</v>
      </c>
      <c r="K41" s="1">
        <v>0.51</v>
      </c>
      <c r="L41" t="s">
        <v>54</v>
      </c>
      <c r="N41" s="2">
        <v>129.064</v>
      </c>
      <c r="O41" s="2">
        <v>66.285</v>
      </c>
      <c r="P41" s="2">
        <f t="shared" si="0"/>
      </c>
      <c r="Q41" s="2">
        <v>185.625</v>
      </c>
      <c r="R41" s="2">
        <v>59.01</v>
      </c>
    </row>
    <row r="42" spans="1:18" ht="12.75">
      <c r="A42" s="3">
        <v>41</v>
      </c>
      <c r="C42" s="2">
        <v>2287</v>
      </c>
      <c r="D42" s="2" t="s">
        <v>13</v>
      </c>
      <c r="E42" s="2" t="s">
        <v>55</v>
      </c>
      <c r="F42" s="2">
        <v>6</v>
      </c>
      <c r="G42" s="2">
        <v>46</v>
      </c>
      <c r="H42" s="12">
        <v>-20.44</v>
      </c>
      <c r="I42" s="1">
        <v>4.6</v>
      </c>
      <c r="J42" s="2">
        <v>38</v>
      </c>
      <c r="K42" s="1">
        <v>2.3</v>
      </c>
      <c r="N42" s="2">
        <v>100.207</v>
      </c>
      <c r="O42" s="2">
        <v>-35.504</v>
      </c>
      <c r="P42" s="2">
        <f t="shared" si="0"/>
      </c>
      <c r="Q42" s="2">
        <v>101.518</v>
      </c>
      <c r="R42" s="2">
        <v>-20.1</v>
      </c>
    </row>
    <row r="43" spans="1:18" ht="12.75">
      <c r="A43" s="5">
        <v>42</v>
      </c>
      <c r="B43" s="5"/>
      <c r="C43" s="2">
        <v>1976</v>
      </c>
      <c r="D43" s="2" t="s">
        <v>16</v>
      </c>
      <c r="E43" s="2" t="s">
        <v>56</v>
      </c>
      <c r="F43" s="2">
        <v>5</v>
      </c>
      <c r="G43" s="2">
        <v>35.4</v>
      </c>
      <c r="H43" s="12">
        <v>-5.27</v>
      </c>
      <c r="I43" s="1">
        <v>4</v>
      </c>
      <c r="J43" s="2" t="s">
        <v>57</v>
      </c>
      <c r="K43" s="1">
        <v>1.6</v>
      </c>
      <c r="L43" t="s">
        <v>58</v>
      </c>
      <c r="N43" s="2">
        <v>127.958</v>
      </c>
      <c r="O43" s="2">
        <v>-34.188</v>
      </c>
      <c r="P43" s="2">
        <f t="shared" si="0"/>
      </c>
      <c r="Q43" s="2">
        <v>83.872</v>
      </c>
      <c r="R43" s="2">
        <v>-5.179</v>
      </c>
    </row>
    <row r="44" spans="1:18" ht="12.75">
      <c r="A44" s="3">
        <v>43</v>
      </c>
      <c r="C44" s="2">
        <v>1982</v>
      </c>
      <c r="D44" s="2" t="s">
        <v>16</v>
      </c>
      <c r="E44" s="2" t="s">
        <v>56</v>
      </c>
      <c r="F44" s="2">
        <v>5</v>
      </c>
      <c r="G44" s="2">
        <v>35.6</v>
      </c>
      <c r="H44" s="12">
        <v>-5.16</v>
      </c>
      <c r="I44" s="1">
        <v>9</v>
      </c>
      <c r="J44" s="2" t="s">
        <v>59</v>
      </c>
      <c r="K44" s="1">
        <v>1.6</v>
      </c>
      <c r="L44" t="s">
        <v>60</v>
      </c>
      <c r="N44" s="2">
        <v>127.975</v>
      </c>
      <c r="O44" s="2">
        <v>-34.069</v>
      </c>
      <c r="P44" s="2">
        <f t="shared" si="0"/>
      </c>
      <c r="Q44" s="2">
        <v>83.922</v>
      </c>
      <c r="R44" s="2">
        <v>-5.071</v>
      </c>
    </row>
    <row r="45" spans="1:18" ht="12.75">
      <c r="A45" s="3">
        <v>44</v>
      </c>
      <c r="C45" s="2">
        <v>2632</v>
      </c>
      <c r="D45" s="2" t="s">
        <v>13</v>
      </c>
      <c r="E45" s="2" t="s">
        <v>61</v>
      </c>
      <c r="F45" s="2">
        <v>8</v>
      </c>
      <c r="G45" s="2">
        <v>40.1</v>
      </c>
      <c r="H45" s="12">
        <v>19.59</v>
      </c>
      <c r="I45" s="1">
        <v>3.7</v>
      </c>
      <c r="J45" s="2">
        <v>95</v>
      </c>
      <c r="K45" s="1">
        <v>0.577</v>
      </c>
      <c r="L45" t="s">
        <v>62</v>
      </c>
      <c r="N45" s="2">
        <v>105.445</v>
      </c>
      <c r="O45" s="2">
        <v>13.044</v>
      </c>
      <c r="P45" s="2">
        <f t="shared" si="0"/>
      </c>
      <c r="Q45" s="2">
        <v>130.051</v>
      </c>
      <c r="R45" s="2">
        <v>19.911</v>
      </c>
    </row>
    <row r="46" spans="1:18" ht="12.75">
      <c r="A46" s="3">
        <v>45</v>
      </c>
      <c r="C46" s="2" t="s">
        <v>148</v>
      </c>
      <c r="D46" s="2" t="s">
        <v>13</v>
      </c>
      <c r="E46" s="2" t="s">
        <v>6</v>
      </c>
      <c r="F46" s="2">
        <v>3</v>
      </c>
      <c r="G46" s="2">
        <v>47</v>
      </c>
      <c r="H46" s="12">
        <v>24.07</v>
      </c>
      <c r="I46" s="1">
        <v>1.6</v>
      </c>
      <c r="J46" s="2">
        <v>110</v>
      </c>
      <c r="K46" s="1">
        <v>0.38</v>
      </c>
      <c r="L46" t="s">
        <v>63</v>
      </c>
      <c r="N46" s="2">
        <v>166.963</v>
      </c>
      <c r="O46" s="2">
        <v>-15.493</v>
      </c>
      <c r="P46" s="2">
        <f t="shared" si="0"/>
      </c>
      <c r="Q46" s="2">
        <v>56.779</v>
      </c>
      <c r="R46" s="2">
        <v>24.477</v>
      </c>
    </row>
    <row r="47" spans="1:18" ht="12.75">
      <c r="A47" s="3">
        <v>46</v>
      </c>
      <c r="C47" s="2">
        <v>2437</v>
      </c>
      <c r="D47" s="2" t="s">
        <v>13</v>
      </c>
      <c r="E47" s="2" t="s">
        <v>64</v>
      </c>
      <c r="F47" s="2">
        <v>7</v>
      </c>
      <c r="G47" s="2">
        <v>41.8</v>
      </c>
      <c r="H47" s="12">
        <v>-14.49</v>
      </c>
      <c r="I47" s="1">
        <v>6</v>
      </c>
      <c r="J47" s="2">
        <v>27</v>
      </c>
      <c r="K47" s="1">
        <v>5.4</v>
      </c>
      <c r="N47" s="2">
        <v>93.611</v>
      </c>
      <c r="O47" s="2">
        <v>-22.143</v>
      </c>
      <c r="P47" s="2">
        <f t="shared" si="0"/>
      </c>
      <c r="Q47" s="2">
        <v>115.469</v>
      </c>
      <c r="R47" s="2">
        <v>-14.253</v>
      </c>
    </row>
    <row r="48" spans="1:18" ht="12.75">
      <c r="A48" s="3">
        <v>47</v>
      </c>
      <c r="C48" s="2">
        <v>2422</v>
      </c>
      <c r="D48" s="2" t="s">
        <v>13</v>
      </c>
      <c r="E48" s="2" t="s">
        <v>64</v>
      </c>
      <c r="F48" s="2">
        <v>7</v>
      </c>
      <c r="G48" s="2">
        <v>36.6</v>
      </c>
      <c r="H48" s="12">
        <v>-14.3</v>
      </c>
      <c r="I48" s="1">
        <v>5.2</v>
      </c>
      <c r="J48" s="2">
        <v>30</v>
      </c>
      <c r="K48" s="1">
        <v>1.6</v>
      </c>
      <c r="N48" s="2">
        <v>94.754</v>
      </c>
      <c r="O48" s="2">
        <v>-22.856</v>
      </c>
      <c r="P48" s="2">
        <f t="shared" si="0"/>
      </c>
      <c r="Q48" s="2">
        <v>114.17</v>
      </c>
      <c r="R48" s="2">
        <v>-14.065</v>
      </c>
    </row>
    <row r="49" spans="1:18" ht="12.75">
      <c r="A49" s="3">
        <v>48</v>
      </c>
      <c r="C49" s="2">
        <v>2548</v>
      </c>
      <c r="D49" s="2" t="s">
        <v>13</v>
      </c>
      <c r="E49" s="2" t="s">
        <v>65</v>
      </c>
      <c r="F49" s="2">
        <v>8</v>
      </c>
      <c r="G49" s="2">
        <v>13.8</v>
      </c>
      <c r="H49" s="12">
        <v>-5.48</v>
      </c>
      <c r="I49" s="1">
        <v>5.5</v>
      </c>
      <c r="J49" s="2">
        <v>54</v>
      </c>
      <c r="K49" s="1">
        <v>1.5</v>
      </c>
      <c r="N49" s="2">
        <v>93.624</v>
      </c>
      <c r="O49" s="2">
        <v>-10.29</v>
      </c>
      <c r="P49" s="2">
        <f t="shared" si="0"/>
      </c>
      <c r="Q49" s="2">
        <v>123.472</v>
      </c>
      <c r="R49" s="2">
        <v>-5.394</v>
      </c>
    </row>
    <row r="50" spans="1:18" ht="12.75">
      <c r="A50" s="3">
        <v>49</v>
      </c>
      <c r="C50" s="2">
        <v>4472</v>
      </c>
      <c r="D50" s="2" t="s">
        <v>43</v>
      </c>
      <c r="E50" s="2" t="s">
        <v>66</v>
      </c>
      <c r="F50" s="2">
        <v>12</v>
      </c>
      <c r="G50" s="2">
        <v>29.8</v>
      </c>
      <c r="H50" s="12">
        <v>8</v>
      </c>
      <c r="I50" s="1">
        <v>8.4</v>
      </c>
      <c r="J50" s="2" t="s">
        <v>67</v>
      </c>
      <c r="K50" s="1">
        <v>60000</v>
      </c>
      <c r="N50" s="2">
        <v>48.096</v>
      </c>
      <c r="O50" s="2">
        <v>39.456</v>
      </c>
      <c r="P50" s="2">
        <f t="shared" si="0"/>
      </c>
      <c r="Q50" s="2">
        <v>187.477</v>
      </c>
      <c r="R50" s="2">
        <v>8.123</v>
      </c>
    </row>
    <row r="51" spans="1:18" ht="12.75">
      <c r="A51" s="3">
        <v>50</v>
      </c>
      <c r="C51" s="2">
        <v>2323</v>
      </c>
      <c r="D51" s="2" t="s">
        <v>13</v>
      </c>
      <c r="E51" s="2" t="s">
        <v>68</v>
      </c>
      <c r="F51" s="2">
        <v>7</v>
      </c>
      <c r="G51" s="2">
        <v>3.2</v>
      </c>
      <c r="H51" s="12">
        <v>-8.2</v>
      </c>
      <c r="I51" s="1">
        <v>6.3</v>
      </c>
      <c r="J51" s="2">
        <v>16</v>
      </c>
      <c r="K51" s="1">
        <v>3</v>
      </c>
      <c r="N51" s="2">
        <v>105.77</v>
      </c>
      <c r="O51" s="2">
        <v>-23.716</v>
      </c>
      <c r="P51" s="2">
        <f t="shared" si="0"/>
      </c>
      <c r="Q51" s="2">
        <v>105.821</v>
      </c>
      <c r="R51" s="2">
        <v>-8.065</v>
      </c>
    </row>
    <row r="52" spans="1:18" ht="12.75">
      <c r="A52" s="4">
        <v>51</v>
      </c>
      <c r="B52" s="4"/>
      <c r="C52" s="2">
        <v>5194</v>
      </c>
      <c r="D52" s="2" t="s">
        <v>38</v>
      </c>
      <c r="E52" s="2" t="s">
        <v>11</v>
      </c>
      <c r="F52" s="2">
        <v>13</v>
      </c>
      <c r="G52" s="2">
        <v>29.9</v>
      </c>
      <c r="H52" s="12">
        <v>47.12</v>
      </c>
      <c r="I52" s="1">
        <v>8.4</v>
      </c>
      <c r="J52" s="2" t="s">
        <v>69</v>
      </c>
      <c r="K52" s="1">
        <v>37000</v>
      </c>
      <c r="L52" t="s">
        <v>70</v>
      </c>
      <c r="N52" s="2">
        <v>93.102</v>
      </c>
      <c r="O52" s="2">
        <v>76.425</v>
      </c>
      <c r="P52" s="2">
        <f t="shared" si="0"/>
      </c>
      <c r="Q52" s="2">
        <v>202.499</v>
      </c>
      <c r="R52" s="2">
        <v>47.899</v>
      </c>
    </row>
    <row r="53" spans="1:18" ht="12.75">
      <c r="A53" s="3">
        <v>52</v>
      </c>
      <c r="C53" s="2">
        <v>7654</v>
      </c>
      <c r="D53" s="2" t="s">
        <v>13</v>
      </c>
      <c r="E53" s="2" t="s">
        <v>71</v>
      </c>
      <c r="F53" s="2">
        <v>23</v>
      </c>
      <c r="G53" s="2">
        <v>24.2</v>
      </c>
      <c r="H53" s="12">
        <v>61.35</v>
      </c>
      <c r="I53" s="1">
        <v>7.3</v>
      </c>
      <c r="J53" s="2">
        <v>13</v>
      </c>
      <c r="K53" s="1">
        <v>5</v>
      </c>
      <c r="N53" s="2">
        <v>204.583</v>
      </c>
      <c r="O53" s="2">
        <v>28.748</v>
      </c>
      <c r="P53" s="2">
        <f t="shared" si="0"/>
      </c>
      <c r="Q53" s="2">
        <v>351.079</v>
      </c>
      <c r="R53" s="2">
        <v>62.38</v>
      </c>
    </row>
    <row r="54" spans="1:18" ht="12.75">
      <c r="A54" s="4">
        <v>53</v>
      </c>
      <c r="B54" s="4"/>
      <c r="C54" s="2">
        <v>5024</v>
      </c>
      <c r="D54" s="2" t="s">
        <v>9</v>
      </c>
      <c r="E54" s="2" t="s">
        <v>72</v>
      </c>
      <c r="F54" s="2">
        <v>13</v>
      </c>
      <c r="G54" s="2">
        <v>12.9</v>
      </c>
      <c r="H54" s="12">
        <v>18.1</v>
      </c>
      <c r="I54" s="1">
        <v>7.6</v>
      </c>
      <c r="J54" s="2">
        <v>12.6</v>
      </c>
      <c r="K54" s="1">
        <v>56.4</v>
      </c>
      <c r="N54" s="2">
        <v>41.803</v>
      </c>
      <c r="O54" s="2">
        <v>53.483</v>
      </c>
      <c r="P54" s="2">
        <f t="shared" si="0"/>
      </c>
      <c r="Q54" s="2">
        <v>198.252</v>
      </c>
      <c r="R54" s="2">
        <v>18.392</v>
      </c>
    </row>
    <row r="55" spans="1:18" ht="12.75">
      <c r="A55" s="3">
        <v>54</v>
      </c>
      <c r="C55" s="2">
        <v>6715</v>
      </c>
      <c r="D55" s="2" t="s">
        <v>9</v>
      </c>
      <c r="E55" s="2" t="s">
        <v>17</v>
      </c>
      <c r="F55" s="2">
        <v>18</v>
      </c>
      <c r="G55" s="2">
        <v>55.1</v>
      </c>
      <c r="H55" s="12">
        <v>-30.29</v>
      </c>
      <c r="I55" s="1">
        <v>7.6</v>
      </c>
      <c r="J55" s="2">
        <v>9.1</v>
      </c>
      <c r="K55" s="1">
        <v>82.8</v>
      </c>
      <c r="N55" s="2">
        <v>310.388</v>
      </c>
      <c r="O55" s="2">
        <v>-5.599</v>
      </c>
      <c r="P55" s="2" t="str">
        <f t="shared" si="0"/>
        <v>X</v>
      </c>
      <c r="Q55" s="2">
        <v>283.816</v>
      </c>
      <c r="R55" s="2">
        <v>-29.782</v>
      </c>
    </row>
    <row r="56" spans="1:18" ht="12.75">
      <c r="A56" s="3">
        <v>55</v>
      </c>
      <c r="C56" s="2">
        <v>6809</v>
      </c>
      <c r="D56" s="2" t="s">
        <v>9</v>
      </c>
      <c r="E56" s="2" t="s">
        <v>17</v>
      </c>
      <c r="F56" s="2">
        <v>19</v>
      </c>
      <c r="G56" s="2">
        <v>40</v>
      </c>
      <c r="H56" s="12">
        <v>-30.58</v>
      </c>
      <c r="I56" s="1">
        <v>6.3</v>
      </c>
      <c r="J56" s="2">
        <v>19</v>
      </c>
      <c r="K56" s="1">
        <v>16.6</v>
      </c>
      <c r="N56" s="2">
        <v>302.748</v>
      </c>
      <c r="O56" s="2">
        <v>-11.736</v>
      </c>
      <c r="P56" s="2">
        <f t="shared" si="0"/>
      </c>
      <c r="Q56" s="2">
        <v>295.041</v>
      </c>
      <c r="R56" s="2">
        <v>-30.065</v>
      </c>
    </row>
    <row r="57" spans="1:18" ht="12.75">
      <c r="A57" s="5">
        <v>56</v>
      </c>
      <c r="B57" s="5"/>
      <c r="C57" s="2">
        <v>6779</v>
      </c>
      <c r="D57" s="2" t="s">
        <v>9</v>
      </c>
      <c r="E57" s="2" t="s">
        <v>73</v>
      </c>
      <c r="F57" s="2">
        <v>19</v>
      </c>
      <c r="G57" s="2">
        <v>16.6</v>
      </c>
      <c r="H57" s="12">
        <v>30.11</v>
      </c>
      <c r="I57" s="1">
        <v>8.3</v>
      </c>
      <c r="J57" s="2">
        <v>7.1</v>
      </c>
      <c r="K57" s="1">
        <v>31.6</v>
      </c>
      <c r="N57" s="2">
        <v>264.762</v>
      </c>
      <c r="O57" s="2">
        <v>37.738</v>
      </c>
      <c r="P57" s="2">
        <f t="shared" si="0"/>
      </c>
      <c r="Q57" s="2">
        <v>289.178</v>
      </c>
      <c r="R57" s="2">
        <v>30.616</v>
      </c>
    </row>
    <row r="58" spans="1:18" ht="12.75">
      <c r="A58" s="4">
        <v>57</v>
      </c>
      <c r="B58" s="4"/>
      <c r="C58" s="2">
        <v>6720</v>
      </c>
      <c r="D58" s="2" t="s">
        <v>31</v>
      </c>
      <c r="E58" s="2" t="s">
        <v>73</v>
      </c>
      <c r="F58" s="2">
        <v>18</v>
      </c>
      <c r="G58" s="2">
        <v>53.6</v>
      </c>
      <c r="H58" s="12">
        <v>33.02</v>
      </c>
      <c r="I58" s="1">
        <v>8.8</v>
      </c>
      <c r="J58" s="2" t="s">
        <v>74</v>
      </c>
      <c r="K58" s="1" t="s">
        <v>75</v>
      </c>
      <c r="L58" t="s">
        <v>76</v>
      </c>
      <c r="N58" s="2">
        <v>265.831</v>
      </c>
      <c r="O58" s="2">
        <v>43.378</v>
      </c>
      <c r="P58" s="2">
        <f t="shared" si="0"/>
      </c>
      <c r="Q58" s="2">
        <v>283.427</v>
      </c>
      <c r="R58" s="2">
        <v>33.574</v>
      </c>
    </row>
    <row r="59" spans="1:18" ht="12.75">
      <c r="A59" s="3">
        <v>58</v>
      </c>
      <c r="C59" s="2">
        <v>4579</v>
      </c>
      <c r="D59" s="2" t="s">
        <v>38</v>
      </c>
      <c r="E59" s="2" t="s">
        <v>66</v>
      </c>
      <c r="F59" s="2">
        <v>12</v>
      </c>
      <c r="G59" s="2">
        <v>37.7</v>
      </c>
      <c r="H59" s="12">
        <v>11.49</v>
      </c>
      <c r="I59" s="1">
        <v>9.7</v>
      </c>
      <c r="J59" s="2" t="s">
        <v>77</v>
      </c>
      <c r="K59" s="1" t="s">
        <v>78</v>
      </c>
      <c r="N59" s="2">
        <v>48.191</v>
      </c>
      <c r="O59" s="2">
        <v>43.503</v>
      </c>
      <c r="P59" s="2">
        <f t="shared" si="0"/>
      </c>
      <c r="Q59" s="2">
        <v>189.452</v>
      </c>
      <c r="R59" s="2">
        <v>11.671</v>
      </c>
    </row>
    <row r="60" spans="1:18" ht="12.75">
      <c r="A60" s="3">
        <v>59</v>
      </c>
      <c r="C60" s="2">
        <v>4621</v>
      </c>
      <c r="D60" s="2" t="s">
        <v>43</v>
      </c>
      <c r="E60" s="2" t="s">
        <v>66</v>
      </c>
      <c r="F60" s="2">
        <v>12</v>
      </c>
      <c r="G60" s="2">
        <v>42</v>
      </c>
      <c r="H60" s="12">
        <v>11.39</v>
      </c>
      <c r="I60" s="1">
        <v>9.6</v>
      </c>
      <c r="J60" s="2" t="s">
        <v>79</v>
      </c>
      <c r="K60" s="1">
        <v>60000</v>
      </c>
      <c r="N60" s="2">
        <v>46.855</v>
      </c>
      <c r="O60" s="2">
        <v>43.934</v>
      </c>
      <c r="P60" s="2">
        <f t="shared" si="0"/>
      </c>
      <c r="Q60" s="2">
        <v>190.527</v>
      </c>
      <c r="R60" s="2">
        <v>11.57</v>
      </c>
    </row>
    <row r="61" spans="1:18" ht="12.75">
      <c r="A61" s="4">
        <v>60</v>
      </c>
      <c r="B61" s="4"/>
      <c r="C61" s="2">
        <v>4649</v>
      </c>
      <c r="D61" s="2" t="s">
        <v>43</v>
      </c>
      <c r="E61" s="2" t="s">
        <v>66</v>
      </c>
      <c r="F61" s="2">
        <v>12</v>
      </c>
      <c r="G61" s="2">
        <v>43.7</v>
      </c>
      <c r="H61" s="12">
        <v>11.33</v>
      </c>
      <c r="I61" s="1">
        <v>8.8</v>
      </c>
      <c r="J61" s="2" t="s">
        <v>80</v>
      </c>
      <c r="K61" s="1">
        <v>60000</v>
      </c>
      <c r="N61" s="2">
        <v>46.308</v>
      </c>
      <c r="O61" s="2">
        <v>44.084</v>
      </c>
      <c r="P61" s="2">
        <f t="shared" si="0"/>
      </c>
      <c r="Q61" s="2">
        <v>190.952</v>
      </c>
      <c r="R61" s="2">
        <v>11.509</v>
      </c>
    </row>
    <row r="62" spans="1:18" ht="12.75">
      <c r="A62" s="3">
        <v>61</v>
      </c>
      <c r="C62" s="2">
        <v>4303</v>
      </c>
      <c r="D62" s="2" t="s">
        <v>38</v>
      </c>
      <c r="E62" s="2" t="s">
        <v>66</v>
      </c>
      <c r="F62" s="2">
        <v>12</v>
      </c>
      <c r="G62" s="2">
        <v>21.9</v>
      </c>
      <c r="H62" s="12">
        <v>4.28</v>
      </c>
      <c r="I62" s="1">
        <v>9.7</v>
      </c>
      <c r="J62" s="2" t="s">
        <v>81</v>
      </c>
      <c r="K62" s="1">
        <v>60000</v>
      </c>
      <c r="N62" s="2">
        <v>47.913</v>
      </c>
      <c r="O62" s="2">
        <v>35.197</v>
      </c>
      <c r="P62" s="2">
        <f t="shared" si="0"/>
      </c>
      <c r="Q62" s="2">
        <v>185.502</v>
      </c>
      <c r="R62" s="2">
        <v>4.34</v>
      </c>
    </row>
    <row r="63" spans="1:18" ht="12.75">
      <c r="A63" s="3">
        <v>62</v>
      </c>
      <c r="C63" s="2">
        <v>6266</v>
      </c>
      <c r="D63" s="2" t="s">
        <v>9</v>
      </c>
      <c r="E63" s="2" t="s">
        <v>20</v>
      </c>
      <c r="F63" s="2">
        <v>17</v>
      </c>
      <c r="G63" s="2">
        <v>1.2</v>
      </c>
      <c r="H63" s="12">
        <v>-30.07</v>
      </c>
      <c r="I63" s="1">
        <v>6.5</v>
      </c>
      <c r="J63" s="2">
        <v>14.1</v>
      </c>
      <c r="K63" s="1">
        <v>21.5</v>
      </c>
      <c r="N63" s="2">
        <v>332.058</v>
      </c>
      <c r="O63" s="2">
        <v>6.281</v>
      </c>
      <c r="P63" s="2">
        <f t="shared" si="0"/>
      </c>
      <c r="Q63" s="2">
        <v>255.34</v>
      </c>
      <c r="R63" s="2">
        <v>-29.573</v>
      </c>
    </row>
    <row r="64" spans="1:18" ht="12.75">
      <c r="A64" s="4">
        <v>63</v>
      </c>
      <c r="B64" s="4"/>
      <c r="C64" s="2">
        <v>5055</v>
      </c>
      <c r="D64" s="2" t="s">
        <v>38</v>
      </c>
      <c r="E64" s="2" t="s">
        <v>11</v>
      </c>
      <c r="F64" s="2">
        <v>13</v>
      </c>
      <c r="G64" s="2">
        <v>15.8</v>
      </c>
      <c r="H64" s="12">
        <v>42.02</v>
      </c>
      <c r="I64" s="1">
        <v>8.6</v>
      </c>
      <c r="J64" s="2" t="s">
        <v>82</v>
      </c>
      <c r="K64" s="1">
        <v>37000</v>
      </c>
      <c r="L64" t="s">
        <v>83</v>
      </c>
      <c r="N64" s="2">
        <v>78.343</v>
      </c>
      <c r="O64" s="2">
        <v>72.243</v>
      </c>
      <c r="P64" s="2">
        <f t="shared" si="0"/>
      </c>
      <c r="Q64" s="2">
        <v>198.975</v>
      </c>
      <c r="R64" s="2">
        <v>42.713</v>
      </c>
    </row>
    <row r="65" spans="1:18" ht="12.75">
      <c r="A65" s="4">
        <v>64</v>
      </c>
      <c r="B65" s="4"/>
      <c r="C65" s="2">
        <v>4826</v>
      </c>
      <c r="D65" s="2" t="s">
        <v>38</v>
      </c>
      <c r="E65" s="2" t="s">
        <v>72</v>
      </c>
      <c r="F65" s="2">
        <v>12</v>
      </c>
      <c r="G65" s="2">
        <v>56.7</v>
      </c>
      <c r="H65" s="12">
        <v>21.41</v>
      </c>
      <c r="I65" s="1">
        <v>8.5</v>
      </c>
      <c r="J65" s="2" t="s">
        <v>84</v>
      </c>
      <c r="K65" s="1" t="s">
        <v>85</v>
      </c>
      <c r="L65" t="s">
        <v>86</v>
      </c>
      <c r="N65" s="2">
        <v>50.276</v>
      </c>
      <c r="O65" s="2">
        <v>54.481</v>
      </c>
      <c r="P65" s="2">
        <f t="shared" si="0"/>
      </c>
      <c r="Q65" s="2">
        <v>194.202</v>
      </c>
      <c r="R65" s="2">
        <v>21.758</v>
      </c>
    </row>
    <row r="66" spans="1:18" ht="12.75">
      <c r="A66" s="4">
        <v>65</v>
      </c>
      <c r="B66" s="4"/>
      <c r="C66" s="2">
        <v>3623</v>
      </c>
      <c r="D66" s="2" t="s">
        <v>38</v>
      </c>
      <c r="E66" s="2" t="s">
        <v>87</v>
      </c>
      <c r="F66" s="2">
        <v>11</v>
      </c>
      <c r="G66" s="2">
        <v>18.9</v>
      </c>
      <c r="H66" s="12">
        <v>13.05</v>
      </c>
      <c r="I66" s="1">
        <v>9.3</v>
      </c>
      <c r="J66" s="2" t="s">
        <v>88</v>
      </c>
      <c r="K66" s="1">
        <v>35000</v>
      </c>
      <c r="N66" s="2">
        <v>69.626</v>
      </c>
      <c r="O66" s="2">
        <v>33.746</v>
      </c>
      <c r="P66" s="2">
        <f t="shared" si="0"/>
      </c>
      <c r="Q66" s="2">
        <v>169.751</v>
      </c>
      <c r="R66" s="2">
        <v>13.257</v>
      </c>
    </row>
    <row r="67" spans="1:18" ht="12.75">
      <c r="A67" s="4">
        <v>66</v>
      </c>
      <c r="B67" s="4"/>
      <c r="C67" s="2">
        <v>3627</v>
      </c>
      <c r="D67" s="2" t="s">
        <v>38</v>
      </c>
      <c r="E67" s="2" t="s">
        <v>87</v>
      </c>
      <c r="F67" s="2">
        <v>11</v>
      </c>
      <c r="G67" s="2">
        <v>20.2</v>
      </c>
      <c r="H67" s="12">
        <v>12.59</v>
      </c>
      <c r="I67" s="1">
        <v>8.9</v>
      </c>
      <c r="J67" s="2" t="s">
        <v>89</v>
      </c>
      <c r="K67" s="1">
        <v>35000</v>
      </c>
      <c r="N67" s="2">
        <v>68.977</v>
      </c>
      <c r="O67" s="2">
        <v>33.582</v>
      </c>
      <c r="P67" s="2">
        <f aca="true" t="shared" si="1" ref="P67:P111">IF(AND(SQRT((AZpointee-N67)^2+(Hpointee-O67)^2)&lt;=RdR,SQRT((AZpointee-N67)^2+(Hpointee-O67)^2&lt;&gt;0)),"X","")</f>
      </c>
      <c r="Q67" s="2">
        <v>170.076</v>
      </c>
      <c r="R67" s="2">
        <v>12.79</v>
      </c>
    </row>
    <row r="68" spans="1:18" ht="12.75">
      <c r="A68" s="3">
        <v>67</v>
      </c>
      <c r="C68" s="2">
        <v>2682</v>
      </c>
      <c r="D68" s="2" t="s">
        <v>13</v>
      </c>
      <c r="E68" s="2" t="s">
        <v>61</v>
      </c>
      <c r="F68" s="2">
        <v>8</v>
      </c>
      <c r="G68" s="2">
        <v>50.4</v>
      </c>
      <c r="H68" s="12">
        <v>11.49</v>
      </c>
      <c r="I68" s="1">
        <v>6.1</v>
      </c>
      <c r="J68" s="2">
        <v>30</v>
      </c>
      <c r="K68" s="1">
        <v>2.7</v>
      </c>
      <c r="N68" s="2">
        <v>97.969</v>
      </c>
      <c r="O68" s="2">
        <v>8.566</v>
      </c>
      <c r="P68" s="2">
        <f t="shared" si="1"/>
      </c>
      <c r="Q68" s="2">
        <v>132.625</v>
      </c>
      <c r="R68" s="2">
        <v>11.675</v>
      </c>
    </row>
    <row r="69" spans="1:18" ht="12.75">
      <c r="A69" s="3">
        <v>68</v>
      </c>
      <c r="C69" s="2">
        <v>4590</v>
      </c>
      <c r="D69" s="2" t="s">
        <v>9</v>
      </c>
      <c r="E69" s="2" t="s">
        <v>65</v>
      </c>
      <c r="F69" s="2">
        <v>12</v>
      </c>
      <c r="G69" s="2">
        <v>39.5</v>
      </c>
      <c r="H69" s="12">
        <v>-26.45</v>
      </c>
      <c r="I69" s="1">
        <v>7.8</v>
      </c>
      <c r="J69" s="2">
        <v>12</v>
      </c>
      <c r="K69" s="1">
        <v>32.3</v>
      </c>
      <c r="N69" s="2">
        <v>29.79</v>
      </c>
      <c r="O69" s="2">
        <v>9.381</v>
      </c>
      <c r="P69" s="2">
        <f t="shared" si="1"/>
      </c>
      <c r="Q69" s="2">
        <v>189.903</v>
      </c>
      <c r="R69" s="2">
        <v>-26.023</v>
      </c>
    </row>
    <row r="70" spans="1:18" ht="12.75">
      <c r="A70" s="3">
        <v>69</v>
      </c>
      <c r="C70" s="2">
        <v>6637</v>
      </c>
      <c r="D70" s="2" t="s">
        <v>9</v>
      </c>
      <c r="E70" s="2" t="s">
        <v>17</v>
      </c>
      <c r="F70" s="2">
        <v>18</v>
      </c>
      <c r="G70" s="2">
        <v>31.4</v>
      </c>
      <c r="H70" s="12">
        <v>-32.21</v>
      </c>
      <c r="I70" s="1">
        <v>7.6</v>
      </c>
      <c r="J70" s="2">
        <v>7.1</v>
      </c>
      <c r="K70" s="1">
        <v>26.7</v>
      </c>
      <c r="N70" s="2">
        <v>315.688</v>
      </c>
      <c r="O70" s="2">
        <v>-4.328</v>
      </c>
      <c r="P70" s="2" t="str">
        <f t="shared" si="1"/>
        <v>X</v>
      </c>
      <c r="Q70" s="2">
        <v>277.892</v>
      </c>
      <c r="R70" s="2">
        <v>-31.672</v>
      </c>
    </row>
    <row r="71" spans="1:18" ht="12.75">
      <c r="A71" s="3">
        <v>70</v>
      </c>
      <c r="C71" s="2">
        <v>6681</v>
      </c>
      <c r="D71" s="2" t="s">
        <v>9</v>
      </c>
      <c r="E71" s="2" t="s">
        <v>17</v>
      </c>
      <c r="F71" s="2">
        <v>18</v>
      </c>
      <c r="G71" s="2">
        <v>43.2</v>
      </c>
      <c r="H71" s="12">
        <v>-32.18</v>
      </c>
      <c r="I71" s="1">
        <v>7.9</v>
      </c>
      <c r="J71" s="2">
        <v>7.8</v>
      </c>
      <c r="K71" s="1">
        <v>28</v>
      </c>
      <c r="N71" s="2">
        <v>313.564</v>
      </c>
      <c r="O71" s="2">
        <v>-5.68</v>
      </c>
      <c r="P71" s="2" t="str">
        <f t="shared" si="1"/>
        <v>X</v>
      </c>
      <c r="Q71" s="2">
        <v>280.842</v>
      </c>
      <c r="R71" s="2">
        <v>-31.642</v>
      </c>
    </row>
    <row r="72" spans="1:18" ht="12.75">
      <c r="A72" s="5">
        <v>71</v>
      </c>
      <c r="B72" s="5"/>
      <c r="C72" s="2">
        <v>6838</v>
      </c>
      <c r="D72" s="2" t="s">
        <v>9</v>
      </c>
      <c r="E72" s="2" t="s">
        <v>90</v>
      </c>
      <c r="F72" s="2">
        <v>19</v>
      </c>
      <c r="G72" s="2">
        <v>53.8</v>
      </c>
      <c r="H72" s="12">
        <v>18.47</v>
      </c>
      <c r="I72" s="1">
        <v>8.2</v>
      </c>
      <c r="J72" s="2">
        <v>7.2</v>
      </c>
      <c r="K72" s="1">
        <v>11.7</v>
      </c>
      <c r="N72" s="2">
        <v>267.964</v>
      </c>
      <c r="O72" s="2">
        <v>23.473</v>
      </c>
      <c r="P72" s="2">
        <f t="shared" si="1"/>
      </c>
      <c r="Q72" s="2">
        <v>298.48</v>
      </c>
      <c r="R72" s="2">
        <v>18.784</v>
      </c>
    </row>
    <row r="73" spans="1:18" ht="12.75">
      <c r="A73" s="3">
        <v>72</v>
      </c>
      <c r="C73" s="2">
        <v>6981</v>
      </c>
      <c r="D73" s="2" t="s">
        <v>9</v>
      </c>
      <c r="E73" s="2" t="s">
        <v>10</v>
      </c>
      <c r="F73" s="2">
        <v>20</v>
      </c>
      <c r="G73" s="2">
        <v>53.5</v>
      </c>
      <c r="H73" s="12">
        <v>-12.32</v>
      </c>
      <c r="I73" s="1">
        <v>9.3</v>
      </c>
      <c r="J73" s="2">
        <v>5.9</v>
      </c>
      <c r="K73" s="1">
        <v>52.8</v>
      </c>
      <c r="N73" s="2">
        <v>277.677</v>
      </c>
      <c r="O73" s="2">
        <v>-9.399</v>
      </c>
      <c r="P73" s="2">
        <f t="shared" si="1"/>
      </c>
      <c r="Q73" s="2">
        <v>313.41</v>
      </c>
      <c r="R73" s="2">
        <v>-12.105</v>
      </c>
    </row>
    <row r="74" spans="1:18" ht="12.75">
      <c r="A74" s="5">
        <v>73</v>
      </c>
      <c r="B74" s="5"/>
      <c r="C74" s="2">
        <v>6994</v>
      </c>
      <c r="D74" s="2" t="s">
        <v>91</v>
      </c>
      <c r="E74" s="2" t="s">
        <v>10</v>
      </c>
      <c r="F74" s="2">
        <v>20</v>
      </c>
      <c r="G74" s="2">
        <v>58.9</v>
      </c>
      <c r="H74" s="12">
        <v>-12.38</v>
      </c>
      <c r="I74" s="1">
        <v>9</v>
      </c>
      <c r="J74" s="2">
        <v>2.8</v>
      </c>
      <c r="K74" s="1">
        <v>0</v>
      </c>
      <c r="N74" s="2">
        <v>276.717</v>
      </c>
      <c r="O74" s="2">
        <v>-10.321</v>
      </c>
      <c r="P74" s="2">
        <f t="shared" si="1"/>
      </c>
      <c r="Q74" s="2">
        <v>314.76</v>
      </c>
      <c r="R74" s="2">
        <v>-12.164</v>
      </c>
    </row>
    <row r="75" spans="1:18" ht="12.75">
      <c r="A75" s="3">
        <v>74</v>
      </c>
      <c r="C75" s="2">
        <v>628</v>
      </c>
      <c r="D75" s="2" t="s">
        <v>38</v>
      </c>
      <c r="E75" s="2" t="s">
        <v>92</v>
      </c>
      <c r="F75" s="2">
        <v>1</v>
      </c>
      <c r="G75" s="2">
        <v>36.7</v>
      </c>
      <c r="H75" s="12">
        <v>15.47</v>
      </c>
      <c r="I75" s="1">
        <v>9.4</v>
      </c>
      <c r="J75" s="2" t="s">
        <v>93</v>
      </c>
      <c r="K75" s="1" t="s">
        <v>94</v>
      </c>
      <c r="N75" s="2">
        <v>199.671</v>
      </c>
      <c r="O75" s="2">
        <v>-23.155</v>
      </c>
      <c r="P75" s="2">
        <f t="shared" si="1"/>
      </c>
      <c r="Q75" s="2">
        <v>24.204</v>
      </c>
      <c r="R75" s="2">
        <v>15.739</v>
      </c>
    </row>
    <row r="76" spans="1:18" ht="12.75">
      <c r="A76" s="5">
        <v>75</v>
      </c>
      <c r="B76" s="5"/>
      <c r="C76" s="2">
        <v>6864</v>
      </c>
      <c r="D76" s="2" t="s">
        <v>9</v>
      </c>
      <c r="E76" s="2" t="s">
        <v>17</v>
      </c>
      <c r="F76" s="2">
        <v>20</v>
      </c>
      <c r="G76" s="2">
        <v>6.1</v>
      </c>
      <c r="H76" s="12">
        <v>-21.55</v>
      </c>
      <c r="I76" s="1">
        <v>8.5</v>
      </c>
      <c r="J76" s="2">
        <v>6</v>
      </c>
      <c r="K76" s="1">
        <v>57.7</v>
      </c>
      <c r="N76" s="2">
        <v>292.368</v>
      </c>
      <c r="O76" s="2">
        <v>-8.733</v>
      </c>
      <c r="P76" s="2">
        <f t="shared" si="1"/>
      </c>
      <c r="Q76" s="2">
        <v>301.563</v>
      </c>
      <c r="R76" s="2">
        <v>-21.184</v>
      </c>
    </row>
    <row r="77" spans="1:18" ht="12.75">
      <c r="A77" s="3">
        <v>76</v>
      </c>
      <c r="C77" s="2">
        <v>650</v>
      </c>
      <c r="D77" s="2" t="s">
        <v>31</v>
      </c>
      <c r="E77" s="2" t="s">
        <v>49</v>
      </c>
      <c r="F77" s="2">
        <v>1</v>
      </c>
      <c r="G77" s="2">
        <v>42.4</v>
      </c>
      <c r="H77" s="12">
        <v>51.34</v>
      </c>
      <c r="I77" s="1">
        <v>10.1</v>
      </c>
      <c r="J77" s="2" t="s">
        <v>95</v>
      </c>
      <c r="K77" s="1" t="s">
        <v>96</v>
      </c>
      <c r="L77" t="s">
        <v>97</v>
      </c>
      <c r="N77" s="2">
        <v>190.766</v>
      </c>
      <c r="O77" s="2">
        <v>12.271</v>
      </c>
      <c r="P77" s="2">
        <f t="shared" si="1"/>
      </c>
      <c r="Q77" s="2">
        <v>25.633</v>
      </c>
      <c r="R77" s="2">
        <v>52.203</v>
      </c>
    </row>
    <row r="78" spans="1:18" ht="12.75">
      <c r="A78" s="3">
        <v>77</v>
      </c>
      <c r="C78" s="2">
        <v>1068</v>
      </c>
      <c r="D78" s="2" t="s">
        <v>38</v>
      </c>
      <c r="E78" s="2" t="s">
        <v>98</v>
      </c>
      <c r="F78" s="2">
        <v>2</v>
      </c>
      <c r="G78" s="2">
        <v>42.7</v>
      </c>
      <c r="H78" s="12">
        <v>-0.01</v>
      </c>
      <c r="I78" s="1">
        <v>8.9</v>
      </c>
      <c r="J78" s="2" t="s">
        <v>80</v>
      </c>
      <c r="K78" s="1">
        <v>60000</v>
      </c>
      <c r="L78" t="s">
        <v>99</v>
      </c>
      <c r="N78" s="2">
        <v>182.993</v>
      </c>
      <c r="O78" s="2">
        <v>-40.961</v>
      </c>
      <c r="P78" s="2">
        <f t="shared" si="1"/>
      </c>
      <c r="Q78" s="2">
        <v>40.701</v>
      </c>
      <c r="R78" s="2">
        <v>0.001</v>
      </c>
    </row>
    <row r="79" spans="1:18" ht="12.75">
      <c r="A79" s="3">
        <v>78</v>
      </c>
      <c r="C79" s="2">
        <v>2068</v>
      </c>
      <c r="D79" s="2" t="s">
        <v>16</v>
      </c>
      <c r="E79" s="2" t="s">
        <v>56</v>
      </c>
      <c r="F79" s="2">
        <v>5</v>
      </c>
      <c r="G79" s="2">
        <v>46.7</v>
      </c>
      <c r="H79" s="12">
        <v>0.03</v>
      </c>
      <c r="I79" s="1">
        <v>8.3</v>
      </c>
      <c r="J79" s="2" t="s">
        <v>44</v>
      </c>
      <c r="K79" s="1">
        <v>1.6</v>
      </c>
      <c r="N79" s="2">
        <v>128.283</v>
      </c>
      <c r="O79" s="2">
        <v>-28.267</v>
      </c>
      <c r="P79" s="2">
        <f t="shared" si="1"/>
      </c>
      <c r="Q79" s="2">
        <v>86.698</v>
      </c>
      <c r="R79" s="2">
        <v>0.033</v>
      </c>
    </row>
    <row r="80" spans="1:18" ht="12.75">
      <c r="A80" s="3">
        <v>79</v>
      </c>
      <c r="C80" s="2">
        <v>1904</v>
      </c>
      <c r="D80" s="2" t="s">
        <v>9</v>
      </c>
      <c r="E80" s="2" t="s">
        <v>100</v>
      </c>
      <c r="F80" s="2">
        <v>5</v>
      </c>
      <c r="G80" s="2">
        <v>24.5</v>
      </c>
      <c r="H80" s="12">
        <v>-24.33</v>
      </c>
      <c r="I80" s="1">
        <v>7.7</v>
      </c>
      <c r="J80" s="2">
        <v>8.7</v>
      </c>
      <c r="K80" s="1">
        <v>41.1</v>
      </c>
      <c r="N80" s="2">
        <v>116.056</v>
      </c>
      <c r="O80" s="2">
        <v>-51.024</v>
      </c>
      <c r="P80" s="2">
        <f t="shared" si="1"/>
      </c>
      <c r="Q80" s="2">
        <v>81.142</v>
      </c>
      <c r="R80" s="2">
        <v>-23.92</v>
      </c>
    </row>
    <row r="81" spans="1:18" ht="12.75">
      <c r="A81" s="5">
        <v>80</v>
      </c>
      <c r="B81" s="5"/>
      <c r="C81" s="2">
        <v>6093</v>
      </c>
      <c r="D81" s="2" t="s">
        <v>9</v>
      </c>
      <c r="E81" s="2" t="s">
        <v>12</v>
      </c>
      <c r="F81" s="2">
        <v>16</v>
      </c>
      <c r="G81" s="2">
        <v>17</v>
      </c>
      <c r="H81" s="12">
        <v>-22.59</v>
      </c>
      <c r="I81" s="1">
        <v>7.3</v>
      </c>
      <c r="J81" s="2">
        <v>8.9</v>
      </c>
      <c r="K81" s="1">
        <v>27.4</v>
      </c>
      <c r="N81" s="2">
        <v>339.468</v>
      </c>
      <c r="O81" s="2">
        <v>16.281</v>
      </c>
      <c r="P81" s="2">
        <f t="shared" si="1"/>
      </c>
      <c r="Q81" s="2">
        <v>244.287</v>
      </c>
      <c r="R81" s="2">
        <v>-22.22</v>
      </c>
    </row>
    <row r="82" spans="1:18" ht="12.75">
      <c r="A82" s="3">
        <v>81</v>
      </c>
      <c r="C82" s="2">
        <v>3031</v>
      </c>
      <c r="D82" s="2" t="s">
        <v>38</v>
      </c>
      <c r="E82" s="2" t="s">
        <v>53</v>
      </c>
      <c r="F82" s="2">
        <v>9</v>
      </c>
      <c r="G82" s="2">
        <v>55.6</v>
      </c>
      <c r="H82" s="12">
        <v>69.04</v>
      </c>
      <c r="I82" s="1">
        <v>6.9</v>
      </c>
      <c r="J82" s="2" t="s">
        <v>101</v>
      </c>
      <c r="K82" s="1">
        <v>12000</v>
      </c>
      <c r="L82" t="s">
        <v>102</v>
      </c>
      <c r="N82" s="2">
        <v>170.022</v>
      </c>
      <c r="O82" s="2">
        <v>50.392</v>
      </c>
      <c r="P82" s="2">
        <f t="shared" si="1"/>
      </c>
      <c r="Q82" s="2">
        <v>148.907</v>
      </c>
      <c r="R82" s="2">
        <v>83.403</v>
      </c>
    </row>
    <row r="83" spans="1:18" ht="12.75">
      <c r="A83" s="4">
        <v>82</v>
      </c>
      <c r="B83" s="4"/>
      <c r="C83" s="2">
        <v>3034</v>
      </c>
      <c r="D83" s="2" t="s">
        <v>103</v>
      </c>
      <c r="E83" s="2" t="s">
        <v>53</v>
      </c>
      <c r="F83" s="2">
        <v>9</v>
      </c>
      <c r="G83" s="2">
        <v>55.8</v>
      </c>
      <c r="H83" s="12">
        <v>69.41</v>
      </c>
      <c r="I83" s="1">
        <v>8.4</v>
      </c>
      <c r="J83" s="2" t="s">
        <v>104</v>
      </c>
      <c r="K83" s="1">
        <v>12000</v>
      </c>
      <c r="L83" t="s">
        <v>105</v>
      </c>
      <c r="N83" s="2">
        <v>170.395</v>
      </c>
      <c r="O83" s="2">
        <v>50.362</v>
      </c>
      <c r="P83" s="2">
        <f t="shared" si="1"/>
      </c>
      <c r="Q83" s="2">
        <v>148.956</v>
      </c>
      <c r="R83" s="2">
        <v>83.643</v>
      </c>
    </row>
    <row r="84" spans="1:18" ht="12.75">
      <c r="A84" s="3">
        <v>83</v>
      </c>
      <c r="C84" s="2">
        <v>5236</v>
      </c>
      <c r="D84" s="2" t="s">
        <v>38</v>
      </c>
      <c r="E84" s="2" t="s">
        <v>65</v>
      </c>
      <c r="F84" s="2">
        <v>13</v>
      </c>
      <c r="G84" s="2">
        <v>37</v>
      </c>
      <c r="H84" s="12">
        <v>-29.52</v>
      </c>
      <c r="I84" s="1">
        <v>7.6</v>
      </c>
      <c r="J84" s="2" t="s">
        <v>106</v>
      </c>
      <c r="K84" s="1">
        <v>15000</v>
      </c>
      <c r="L84" t="s">
        <v>107</v>
      </c>
      <c r="N84" s="2">
        <v>16.529</v>
      </c>
      <c r="O84" s="2">
        <v>10.195</v>
      </c>
      <c r="P84" s="2">
        <f t="shared" si="1"/>
      </c>
      <c r="Q84" s="2">
        <v>204.281</v>
      </c>
      <c r="R84" s="2">
        <v>-29.041</v>
      </c>
    </row>
    <row r="85" spans="1:18" ht="12.75">
      <c r="A85" s="3">
        <v>84</v>
      </c>
      <c r="C85" s="2">
        <v>4374</v>
      </c>
      <c r="D85" s="2" t="s">
        <v>108</v>
      </c>
      <c r="E85" s="2" t="s">
        <v>66</v>
      </c>
      <c r="F85" s="2">
        <v>12</v>
      </c>
      <c r="G85" s="2">
        <v>25.1</v>
      </c>
      <c r="H85" s="12">
        <v>12.53</v>
      </c>
      <c r="I85" s="1">
        <v>9.1</v>
      </c>
      <c r="J85" s="2">
        <v>5</v>
      </c>
      <c r="K85" s="1">
        <v>60000</v>
      </c>
      <c r="N85" s="2">
        <v>52.554</v>
      </c>
      <c r="O85" s="2">
        <v>42.816</v>
      </c>
      <c r="P85" s="2">
        <f t="shared" si="1"/>
      </c>
      <c r="Q85" s="2">
        <v>186.302</v>
      </c>
      <c r="R85" s="2">
        <v>12.729</v>
      </c>
    </row>
    <row r="86" spans="1:18" ht="12.75">
      <c r="A86" s="3">
        <v>85</v>
      </c>
      <c r="C86" s="2">
        <v>4382</v>
      </c>
      <c r="D86" s="2" t="s">
        <v>108</v>
      </c>
      <c r="E86" s="2" t="s">
        <v>72</v>
      </c>
      <c r="F86" s="2">
        <v>25</v>
      </c>
      <c r="G86" s="2">
        <v>25.4</v>
      </c>
      <c r="H86" s="12">
        <v>18.11</v>
      </c>
      <c r="I86" s="1">
        <v>9.1</v>
      </c>
      <c r="J86" s="2" t="s">
        <v>109</v>
      </c>
      <c r="K86" s="1" t="s">
        <v>110</v>
      </c>
      <c r="N86" s="2">
        <v>201.785</v>
      </c>
      <c r="O86" s="2">
        <v>-19.895</v>
      </c>
      <c r="P86" s="2">
        <f t="shared" si="1"/>
      </c>
      <c r="Q86" s="2">
        <v>21.379</v>
      </c>
      <c r="R86" s="2">
        <v>18.422</v>
      </c>
    </row>
    <row r="87" spans="1:18" ht="12.75">
      <c r="A87" s="3">
        <v>86</v>
      </c>
      <c r="C87" s="2">
        <v>4406</v>
      </c>
      <c r="D87" s="2" t="s">
        <v>108</v>
      </c>
      <c r="E87" s="2" t="s">
        <v>66</v>
      </c>
      <c r="F87" s="2">
        <v>12</v>
      </c>
      <c r="G87" s="2">
        <v>26.2</v>
      </c>
      <c r="H87" s="12">
        <v>12.57</v>
      </c>
      <c r="I87" s="1">
        <v>8.9</v>
      </c>
      <c r="J87" s="2" t="s">
        <v>111</v>
      </c>
      <c r="K87" s="1" t="s">
        <v>78</v>
      </c>
      <c r="N87" s="2">
        <v>52.274</v>
      </c>
      <c r="O87" s="2">
        <v>42.993</v>
      </c>
      <c r="P87" s="2">
        <f t="shared" si="1"/>
      </c>
      <c r="Q87" s="2">
        <v>186.577</v>
      </c>
      <c r="R87" s="2">
        <v>12.769</v>
      </c>
    </row>
    <row r="88" spans="1:18" ht="12.75">
      <c r="A88" s="3">
        <v>87</v>
      </c>
      <c r="C88" s="2">
        <v>4486</v>
      </c>
      <c r="D88" s="2" t="s">
        <v>43</v>
      </c>
      <c r="E88" s="2" t="s">
        <v>66</v>
      </c>
      <c r="F88" s="2">
        <v>12</v>
      </c>
      <c r="G88" s="2">
        <v>30.8</v>
      </c>
      <c r="H88" s="12">
        <v>12.24</v>
      </c>
      <c r="I88" s="1">
        <v>8.6</v>
      </c>
      <c r="J88" s="2">
        <v>7</v>
      </c>
      <c r="K88" s="1">
        <v>60000</v>
      </c>
      <c r="L88" t="s">
        <v>112</v>
      </c>
      <c r="N88" s="2">
        <v>50.724</v>
      </c>
      <c r="O88" s="2">
        <v>43.299</v>
      </c>
      <c r="P88" s="2">
        <f t="shared" si="1"/>
      </c>
      <c r="Q88" s="2">
        <v>187.727</v>
      </c>
      <c r="R88" s="2">
        <v>12.434</v>
      </c>
    </row>
    <row r="89" spans="1:18" ht="12.75">
      <c r="A89" s="3">
        <v>88</v>
      </c>
      <c r="C89" s="2">
        <v>4501</v>
      </c>
      <c r="D89" s="2" t="s">
        <v>38</v>
      </c>
      <c r="E89" s="2" t="s">
        <v>72</v>
      </c>
      <c r="F89" s="2">
        <v>12</v>
      </c>
      <c r="G89" s="2">
        <v>32</v>
      </c>
      <c r="H89" s="12">
        <v>14.25</v>
      </c>
      <c r="I89" s="1">
        <v>9.6</v>
      </c>
      <c r="J89" s="2" t="s">
        <v>113</v>
      </c>
      <c r="K89" s="1">
        <v>60000</v>
      </c>
      <c r="N89" s="2">
        <v>51.88</v>
      </c>
      <c r="O89" s="2">
        <v>45.19</v>
      </c>
      <c r="P89" s="2">
        <f t="shared" si="1"/>
      </c>
      <c r="Q89" s="2">
        <v>188.027</v>
      </c>
      <c r="R89" s="2">
        <v>14.477</v>
      </c>
    </row>
    <row r="90" spans="1:18" ht="12.75">
      <c r="A90" s="3">
        <v>89</v>
      </c>
      <c r="C90" s="2">
        <v>4552</v>
      </c>
      <c r="D90" s="2" t="s">
        <v>43</v>
      </c>
      <c r="E90" s="2" t="s">
        <v>66</v>
      </c>
      <c r="F90" s="2">
        <v>12</v>
      </c>
      <c r="G90" s="2">
        <v>35.7</v>
      </c>
      <c r="H90" s="12">
        <v>12.33</v>
      </c>
      <c r="I90" s="1">
        <v>9.8</v>
      </c>
      <c r="J90" s="2">
        <v>4</v>
      </c>
      <c r="K90" s="1">
        <v>60000</v>
      </c>
      <c r="N90" s="2">
        <v>49.372</v>
      </c>
      <c r="O90" s="2">
        <v>43.993</v>
      </c>
      <c r="P90" s="2">
        <f t="shared" si="1"/>
      </c>
      <c r="Q90" s="2">
        <v>188.952</v>
      </c>
      <c r="R90" s="2">
        <v>12.525</v>
      </c>
    </row>
    <row r="91" spans="1:18" ht="12.75">
      <c r="A91" s="3">
        <v>90</v>
      </c>
      <c r="C91" s="2">
        <v>4569</v>
      </c>
      <c r="D91" s="2" t="s">
        <v>38</v>
      </c>
      <c r="E91" s="2" t="s">
        <v>66</v>
      </c>
      <c r="F91" s="2">
        <v>12</v>
      </c>
      <c r="G91" s="2">
        <v>36.8</v>
      </c>
      <c r="H91" s="12">
        <v>13.1</v>
      </c>
      <c r="I91" s="1">
        <v>9.5</v>
      </c>
      <c r="J91" s="2" t="s">
        <v>114</v>
      </c>
      <c r="K91" s="1" t="s">
        <v>78</v>
      </c>
      <c r="N91" s="2">
        <v>49.611</v>
      </c>
      <c r="O91" s="2">
        <v>44.803</v>
      </c>
      <c r="P91" s="2">
        <f t="shared" si="1"/>
      </c>
      <c r="Q91" s="2">
        <v>189.227</v>
      </c>
      <c r="R91" s="2">
        <v>13.308</v>
      </c>
    </row>
    <row r="92" spans="1:18" ht="12.75">
      <c r="A92" s="3">
        <v>91</v>
      </c>
      <c r="C92" s="2">
        <v>4548</v>
      </c>
      <c r="D92" s="2" t="s">
        <v>38</v>
      </c>
      <c r="E92" s="2" t="s">
        <v>72</v>
      </c>
      <c r="F92" s="2">
        <v>12</v>
      </c>
      <c r="G92" s="2">
        <v>35.4</v>
      </c>
      <c r="H92" s="12">
        <v>14.3</v>
      </c>
      <c r="I92" s="1">
        <v>10.2</v>
      </c>
      <c r="J92" s="2" t="s">
        <v>115</v>
      </c>
      <c r="K92" s="1" t="s">
        <v>116</v>
      </c>
      <c r="N92" s="2">
        <v>50.924</v>
      </c>
      <c r="O92" s="2">
        <v>45.669</v>
      </c>
      <c r="P92" s="2">
        <f t="shared" si="1"/>
      </c>
      <c r="Q92" s="2">
        <v>188.877</v>
      </c>
      <c r="R92" s="2">
        <v>14.528</v>
      </c>
    </row>
    <row r="93" spans="1:18" ht="12.75">
      <c r="A93" s="5">
        <v>92</v>
      </c>
      <c r="B93" s="5"/>
      <c r="C93" s="2">
        <v>6341</v>
      </c>
      <c r="D93" s="2" t="s">
        <v>9</v>
      </c>
      <c r="E93" s="2" t="s">
        <v>23</v>
      </c>
      <c r="F93" s="2">
        <v>17</v>
      </c>
      <c r="G93" s="2">
        <v>17.1</v>
      </c>
      <c r="H93" s="12">
        <v>43.08</v>
      </c>
      <c r="I93" s="1">
        <v>6.4</v>
      </c>
      <c r="J93" s="2">
        <v>11.2</v>
      </c>
      <c r="K93" s="1">
        <v>26.4</v>
      </c>
      <c r="N93" s="2">
        <v>267.957</v>
      </c>
      <c r="O93" s="2">
        <v>64.662</v>
      </c>
      <c r="P93" s="2">
        <f t="shared" si="1"/>
      </c>
      <c r="Q93" s="2">
        <v>259.298</v>
      </c>
      <c r="R93" s="2">
        <v>43.798</v>
      </c>
    </row>
    <row r="94" spans="1:18" ht="12.75">
      <c r="A94" s="3">
        <v>93</v>
      </c>
      <c r="C94" s="2">
        <v>2447</v>
      </c>
      <c r="D94" s="2" t="s">
        <v>13</v>
      </c>
      <c r="E94" s="2" t="s">
        <v>64</v>
      </c>
      <c r="F94" s="2">
        <v>7</v>
      </c>
      <c r="G94" s="2">
        <v>44.6</v>
      </c>
      <c r="H94" s="12">
        <v>-23.52</v>
      </c>
      <c r="I94" s="1">
        <v>6</v>
      </c>
      <c r="J94" s="2">
        <v>22</v>
      </c>
      <c r="K94" s="1">
        <v>3.6</v>
      </c>
      <c r="N94" s="2">
        <v>86.282</v>
      </c>
      <c r="O94" s="2">
        <v>-28.086</v>
      </c>
      <c r="P94" s="2">
        <f t="shared" si="1"/>
      </c>
      <c r="Q94" s="2">
        <v>116.167</v>
      </c>
      <c r="R94" s="2">
        <v>-23.132</v>
      </c>
    </row>
    <row r="95" spans="1:18" ht="12.75">
      <c r="A95" s="3">
        <v>94</v>
      </c>
      <c r="C95" s="2">
        <v>4736</v>
      </c>
      <c r="D95" s="2" t="s">
        <v>38</v>
      </c>
      <c r="E95" s="2" t="s">
        <v>11</v>
      </c>
      <c r="F95" s="2">
        <v>12</v>
      </c>
      <c r="G95" s="2">
        <v>50.9</v>
      </c>
      <c r="H95" s="12">
        <v>41.07</v>
      </c>
      <c r="I95" s="1">
        <v>8.2</v>
      </c>
      <c r="J95" s="2" t="s">
        <v>117</v>
      </c>
      <c r="K95" s="1">
        <v>14500</v>
      </c>
      <c r="N95" s="2">
        <v>82.447</v>
      </c>
      <c r="O95" s="2">
        <v>67.747</v>
      </c>
      <c r="P95" s="2">
        <f t="shared" si="1"/>
      </c>
      <c r="Q95" s="2">
        <v>192.75</v>
      </c>
      <c r="R95" s="2">
        <v>41.747</v>
      </c>
    </row>
    <row r="96" spans="1:18" ht="12.75">
      <c r="A96" s="3">
        <v>95</v>
      </c>
      <c r="C96" s="2">
        <v>3351</v>
      </c>
      <c r="D96" s="2" t="s">
        <v>38</v>
      </c>
      <c r="E96" s="2" t="s">
        <v>87</v>
      </c>
      <c r="F96" s="2">
        <v>10</v>
      </c>
      <c r="G96" s="2">
        <v>44</v>
      </c>
      <c r="H96" s="12">
        <v>11.42</v>
      </c>
      <c r="I96" s="1">
        <v>9.7</v>
      </c>
      <c r="J96" s="2" t="s">
        <v>118</v>
      </c>
      <c r="K96" s="1" t="s">
        <v>119</v>
      </c>
      <c r="N96" s="2">
        <v>75.977</v>
      </c>
      <c r="O96" s="2">
        <v>27.008</v>
      </c>
      <c r="P96" s="2">
        <f t="shared" si="1"/>
      </c>
      <c r="Q96" s="2">
        <v>161.026</v>
      </c>
      <c r="R96" s="2">
        <v>11.601</v>
      </c>
    </row>
    <row r="97" spans="1:18" ht="12.75">
      <c r="A97" s="3">
        <v>96</v>
      </c>
      <c r="C97" s="2">
        <v>3368</v>
      </c>
      <c r="D97" s="2" t="s">
        <v>38</v>
      </c>
      <c r="E97" s="2" t="s">
        <v>87</v>
      </c>
      <c r="F97" s="2">
        <v>10</v>
      </c>
      <c r="G97" s="2">
        <v>46.8</v>
      </c>
      <c r="H97" s="12">
        <v>11.49</v>
      </c>
      <c r="I97" s="1">
        <v>9.2</v>
      </c>
      <c r="J97" s="2" t="s">
        <v>7</v>
      </c>
      <c r="K97" s="1">
        <v>38000</v>
      </c>
      <c r="N97" s="2">
        <v>75.442</v>
      </c>
      <c r="O97" s="2">
        <v>27.507</v>
      </c>
      <c r="P97" s="2">
        <f t="shared" si="1"/>
      </c>
      <c r="Q97" s="2">
        <v>161.726</v>
      </c>
      <c r="R97" s="2">
        <v>11.672</v>
      </c>
    </row>
    <row r="98" spans="1:18" ht="12.75">
      <c r="A98" s="4">
        <v>97</v>
      </c>
      <c r="B98" s="4"/>
      <c r="C98" s="2">
        <v>3587</v>
      </c>
      <c r="D98" s="2" t="s">
        <v>31</v>
      </c>
      <c r="E98" s="2" t="s">
        <v>53</v>
      </c>
      <c r="F98" s="2">
        <v>11</v>
      </c>
      <c r="G98" s="2">
        <v>14.8</v>
      </c>
      <c r="H98" s="12">
        <v>55.01</v>
      </c>
      <c r="I98" s="1">
        <v>9.9</v>
      </c>
      <c r="J98" s="2" t="s">
        <v>120</v>
      </c>
      <c r="K98" s="1" t="s">
        <v>121</v>
      </c>
      <c r="L98" t="s">
        <v>122</v>
      </c>
      <c r="N98" s="2">
        <v>123.082</v>
      </c>
      <c r="O98" s="2">
        <v>57.136</v>
      </c>
      <c r="P98" s="2">
        <f t="shared" si="1"/>
      </c>
      <c r="Q98" s="2">
        <v>168.727</v>
      </c>
      <c r="R98" s="2">
        <v>55.919</v>
      </c>
    </row>
    <row r="99" spans="1:18" ht="12.75">
      <c r="A99" s="3">
        <v>98</v>
      </c>
      <c r="C99" s="2">
        <v>4192</v>
      </c>
      <c r="D99" s="2" t="s">
        <v>38</v>
      </c>
      <c r="E99" s="2" t="s">
        <v>72</v>
      </c>
      <c r="F99" s="2">
        <v>12</v>
      </c>
      <c r="G99" s="2">
        <v>13.8</v>
      </c>
      <c r="H99" s="12">
        <v>14.54</v>
      </c>
      <c r="I99" s="1">
        <v>10.1</v>
      </c>
      <c r="J99" s="2" t="s">
        <v>123</v>
      </c>
      <c r="K99" s="1" t="s">
        <v>110</v>
      </c>
      <c r="N99" s="2">
        <v>57.219</v>
      </c>
      <c r="O99" s="2">
        <v>43.004</v>
      </c>
      <c r="P99" s="2">
        <f t="shared" si="1"/>
      </c>
      <c r="Q99" s="2">
        <v>183.477</v>
      </c>
      <c r="R99" s="2">
        <v>14.772</v>
      </c>
    </row>
    <row r="100" spans="1:18" ht="12.75">
      <c r="A100" s="3">
        <v>99</v>
      </c>
      <c r="C100" s="2">
        <v>4254</v>
      </c>
      <c r="D100" s="2" t="s">
        <v>38</v>
      </c>
      <c r="E100" s="2" t="s">
        <v>72</v>
      </c>
      <c r="F100" s="2">
        <v>12</v>
      </c>
      <c r="G100" s="2">
        <v>18.8</v>
      </c>
      <c r="H100" s="12">
        <v>14.25</v>
      </c>
      <c r="I100" s="1">
        <v>9.9</v>
      </c>
      <c r="J100" s="2" t="s">
        <v>115</v>
      </c>
      <c r="K100" s="1" t="s">
        <v>124</v>
      </c>
      <c r="N100" s="2">
        <v>55.621</v>
      </c>
      <c r="O100" s="2">
        <v>43.444</v>
      </c>
      <c r="P100" s="2">
        <f t="shared" si="1"/>
      </c>
      <c r="Q100" s="2">
        <v>184.727</v>
      </c>
      <c r="R100" s="2">
        <v>14.477</v>
      </c>
    </row>
    <row r="101" spans="1:18" ht="12.75">
      <c r="A101" s="3">
        <v>100</v>
      </c>
      <c r="C101" s="2">
        <v>4321</v>
      </c>
      <c r="D101" s="2" t="s">
        <v>38</v>
      </c>
      <c r="E101" s="2" t="s">
        <v>72</v>
      </c>
      <c r="F101" s="2">
        <v>12</v>
      </c>
      <c r="G101" s="2">
        <v>22.9</v>
      </c>
      <c r="H101" s="12">
        <v>15.49</v>
      </c>
      <c r="I101" s="1">
        <v>9.3</v>
      </c>
      <c r="J101" s="2" t="s">
        <v>80</v>
      </c>
      <c r="K101" s="1">
        <v>60000</v>
      </c>
      <c r="N101" s="2">
        <v>55.463</v>
      </c>
      <c r="O101" s="2">
        <v>45.042</v>
      </c>
      <c r="P101" s="2">
        <f t="shared" si="1"/>
      </c>
      <c r="Q101" s="2">
        <v>185.752</v>
      </c>
      <c r="R101" s="2">
        <v>15.738</v>
      </c>
    </row>
    <row r="102" spans="1:18" ht="12.75">
      <c r="A102" s="3">
        <v>101</v>
      </c>
      <c r="C102" s="2">
        <v>5457</v>
      </c>
      <c r="D102" s="2" t="s">
        <v>38</v>
      </c>
      <c r="E102" s="2" t="s">
        <v>53</v>
      </c>
      <c r="F102" s="2">
        <v>14</v>
      </c>
      <c r="G102" s="2">
        <v>3.2</v>
      </c>
      <c r="H102" s="12">
        <v>54.21</v>
      </c>
      <c r="I102" s="1">
        <v>7.9</v>
      </c>
      <c r="J102" s="2">
        <v>22</v>
      </c>
      <c r="K102" s="1">
        <v>27000</v>
      </c>
      <c r="L102" t="s">
        <v>125</v>
      </c>
      <c r="N102" s="2">
        <v>133.973</v>
      </c>
      <c r="O102" s="2">
        <v>80.378</v>
      </c>
      <c r="P102" s="2">
        <f t="shared" si="1"/>
      </c>
      <c r="Q102" s="2">
        <v>210.822</v>
      </c>
      <c r="R102" s="2">
        <v>55.108</v>
      </c>
    </row>
    <row r="103" spans="1:18" ht="12.75">
      <c r="A103" s="3">
        <v>102</v>
      </c>
      <c r="C103" s="2">
        <v>5866</v>
      </c>
      <c r="D103" s="2" t="s">
        <v>108</v>
      </c>
      <c r="E103" s="2" t="s">
        <v>127</v>
      </c>
      <c r="F103" s="2">
        <v>15</v>
      </c>
      <c r="G103" s="2">
        <v>6.5</v>
      </c>
      <c r="H103" s="12">
        <v>55.46</v>
      </c>
      <c r="I103" s="1">
        <v>9.9</v>
      </c>
      <c r="J103" s="2" t="s">
        <v>128</v>
      </c>
      <c r="K103" s="1" t="s">
        <v>129</v>
      </c>
      <c r="L103" t="s">
        <v>130</v>
      </c>
      <c r="N103" s="2">
        <v>195.383</v>
      </c>
      <c r="O103" s="2">
        <v>82.292</v>
      </c>
      <c r="P103" s="2">
        <f t="shared" si="1"/>
      </c>
      <c r="Q103" s="2">
        <v>226.645</v>
      </c>
      <c r="R103" s="2">
        <v>56.38</v>
      </c>
    </row>
    <row r="104" spans="1:18" ht="12.75">
      <c r="A104" s="3">
        <v>103</v>
      </c>
      <c r="C104" s="2">
        <v>581</v>
      </c>
      <c r="D104" s="2" t="s">
        <v>13</v>
      </c>
      <c r="E104" s="2" t="s">
        <v>71</v>
      </c>
      <c r="F104" s="2">
        <v>1</v>
      </c>
      <c r="G104" s="2">
        <v>33.2</v>
      </c>
      <c r="H104" s="12">
        <v>60.42</v>
      </c>
      <c r="I104" s="1">
        <v>7.4</v>
      </c>
      <c r="J104" s="2">
        <v>6</v>
      </c>
      <c r="K104" s="1">
        <v>8</v>
      </c>
      <c r="N104" s="2">
        <v>189.943</v>
      </c>
      <c r="O104" s="2">
        <v>21.552</v>
      </c>
      <c r="P104" s="2">
        <f t="shared" si="1"/>
      </c>
      <c r="Q104" s="2">
        <v>23.335</v>
      </c>
      <c r="R104" s="2">
        <v>61.434</v>
      </c>
    </row>
    <row r="105" spans="1:18" ht="12.75">
      <c r="A105" s="4">
        <v>104</v>
      </c>
      <c r="B105" s="4"/>
      <c r="C105" s="2">
        <v>4594</v>
      </c>
      <c r="D105" s="2" t="s">
        <v>38</v>
      </c>
      <c r="E105" s="2" t="s">
        <v>66</v>
      </c>
      <c r="F105" s="2">
        <v>12</v>
      </c>
      <c r="G105" s="2">
        <v>40</v>
      </c>
      <c r="H105" s="12">
        <v>-11.37</v>
      </c>
      <c r="I105" s="1">
        <v>8</v>
      </c>
      <c r="J105" s="2" t="s">
        <v>104</v>
      </c>
      <c r="K105" s="1">
        <v>50000</v>
      </c>
      <c r="L105" t="s">
        <v>131</v>
      </c>
      <c r="N105" s="2">
        <v>35.462</v>
      </c>
      <c r="O105" s="2">
        <v>23.182</v>
      </c>
      <c r="P105" s="2">
        <f t="shared" si="1"/>
      </c>
      <c r="Q105" s="2">
        <v>190.027</v>
      </c>
      <c r="R105" s="2">
        <v>-11.193</v>
      </c>
    </row>
    <row r="106" spans="1:18" ht="12.75">
      <c r="A106" s="3">
        <v>105</v>
      </c>
      <c r="C106" s="2">
        <v>3379</v>
      </c>
      <c r="D106" s="2" t="s">
        <v>43</v>
      </c>
      <c r="E106" s="2" t="s">
        <v>87</v>
      </c>
      <c r="F106" s="2">
        <v>10</v>
      </c>
      <c r="G106" s="2">
        <v>47.8</v>
      </c>
      <c r="H106" s="12">
        <v>12.35</v>
      </c>
      <c r="I106" s="1">
        <v>9.3</v>
      </c>
      <c r="J106" s="2">
        <v>2</v>
      </c>
      <c r="K106" s="1">
        <v>38000</v>
      </c>
      <c r="N106" s="2">
        <v>75.875</v>
      </c>
      <c r="O106" s="2">
        <v>28.331</v>
      </c>
      <c r="P106" s="2">
        <f t="shared" si="1"/>
      </c>
      <c r="Q106" s="2">
        <v>161.976</v>
      </c>
      <c r="R106" s="2">
        <v>12.546</v>
      </c>
    </row>
    <row r="107" spans="1:18" ht="12.75">
      <c r="A107" s="3">
        <v>106</v>
      </c>
      <c r="C107" s="2">
        <v>4258</v>
      </c>
      <c r="D107" s="2" t="s">
        <v>38</v>
      </c>
      <c r="E107" s="2" t="s">
        <v>11</v>
      </c>
      <c r="F107" s="2">
        <v>12</v>
      </c>
      <c r="G107" s="2">
        <v>19</v>
      </c>
      <c r="H107" s="12">
        <v>47.18</v>
      </c>
      <c r="I107" s="1">
        <v>8.4</v>
      </c>
      <c r="J107" s="2" t="s">
        <v>132</v>
      </c>
      <c r="K107" s="1">
        <v>25000</v>
      </c>
      <c r="N107" s="2">
        <v>102.262</v>
      </c>
      <c r="O107" s="2">
        <v>64.934</v>
      </c>
      <c r="P107" s="2">
        <f t="shared" si="1"/>
      </c>
      <c r="Q107" s="2">
        <v>184.776</v>
      </c>
      <c r="R107" s="2">
        <v>47.959</v>
      </c>
    </row>
    <row r="108" spans="1:18" ht="12.75">
      <c r="A108" s="3">
        <v>107</v>
      </c>
      <c r="C108" s="2">
        <v>6171</v>
      </c>
      <c r="D108" s="2" t="s">
        <v>9</v>
      </c>
      <c r="E108" s="2" t="s">
        <v>20</v>
      </c>
      <c r="F108" s="2">
        <v>16</v>
      </c>
      <c r="G108" s="2">
        <v>32.5</v>
      </c>
      <c r="H108" s="12">
        <v>-13.03</v>
      </c>
      <c r="I108" s="1">
        <v>7.9</v>
      </c>
      <c r="J108" s="2">
        <v>10</v>
      </c>
      <c r="K108" s="1">
        <v>19.6</v>
      </c>
      <c r="N108" s="2">
        <v>332.904</v>
      </c>
      <c r="O108" s="2">
        <v>24.292</v>
      </c>
      <c r="P108" s="2">
        <f t="shared" si="1"/>
      </c>
      <c r="Q108" s="2">
        <v>248.16</v>
      </c>
      <c r="R108" s="2">
        <v>-12.818</v>
      </c>
    </row>
    <row r="109" spans="1:18" ht="12.75">
      <c r="A109" s="4">
        <v>108</v>
      </c>
      <c r="B109" s="4"/>
      <c r="C109" s="2">
        <v>3556</v>
      </c>
      <c r="D109" s="2" t="s">
        <v>38</v>
      </c>
      <c r="E109" s="2" t="s">
        <v>53</v>
      </c>
      <c r="F109" s="2">
        <v>11</v>
      </c>
      <c r="G109" s="2">
        <v>11.5</v>
      </c>
      <c r="H109" s="12">
        <v>55.4</v>
      </c>
      <c r="I109" s="1">
        <v>10</v>
      </c>
      <c r="J109" s="2" t="s">
        <v>133</v>
      </c>
      <c r="K109" s="1">
        <v>45000</v>
      </c>
      <c r="N109" s="2">
        <v>123.959</v>
      </c>
      <c r="O109" s="2">
        <v>56.762</v>
      </c>
      <c r="P109" s="2">
        <f t="shared" si="1"/>
      </c>
      <c r="Q109" s="2">
        <v>167.903</v>
      </c>
      <c r="R109" s="2">
        <v>56.316</v>
      </c>
    </row>
    <row r="110" spans="1:18" ht="12.75">
      <c r="A110" s="3">
        <v>109</v>
      </c>
      <c r="C110" s="2">
        <v>3992</v>
      </c>
      <c r="D110" s="2" t="s">
        <v>38</v>
      </c>
      <c r="E110" s="2" t="s">
        <v>53</v>
      </c>
      <c r="F110" s="2">
        <v>11</v>
      </c>
      <c r="G110" s="2">
        <v>57.6</v>
      </c>
      <c r="H110" s="12">
        <v>53.23</v>
      </c>
      <c r="I110" s="1">
        <v>9.8</v>
      </c>
      <c r="J110" s="2" t="s">
        <v>113</v>
      </c>
      <c r="K110" s="1">
        <v>55000</v>
      </c>
      <c r="N110" s="2">
        <v>117.561</v>
      </c>
      <c r="O110" s="2">
        <v>62.904</v>
      </c>
      <c r="P110" s="2">
        <f t="shared" si="1"/>
      </c>
      <c r="Q110" s="2">
        <v>179.426</v>
      </c>
      <c r="R110" s="2">
        <v>54.11</v>
      </c>
    </row>
    <row r="111" spans="1:18" ht="12.75">
      <c r="A111" s="3">
        <v>110</v>
      </c>
      <c r="C111" s="2">
        <v>205</v>
      </c>
      <c r="D111" s="2" t="s">
        <v>43</v>
      </c>
      <c r="E111" s="2" t="s">
        <v>39</v>
      </c>
      <c r="F111" s="2">
        <v>0</v>
      </c>
      <c r="G111" s="2">
        <v>40.4</v>
      </c>
      <c r="H111" s="12">
        <v>41.41</v>
      </c>
      <c r="I111" s="1">
        <v>8.5</v>
      </c>
      <c r="J111" s="2" t="s">
        <v>134</v>
      </c>
      <c r="K111" s="1">
        <v>2900</v>
      </c>
      <c r="L111" t="s">
        <v>45</v>
      </c>
      <c r="N111" s="2">
        <v>203.835</v>
      </c>
      <c r="O111" s="2">
        <v>5.572</v>
      </c>
      <c r="P111" s="2">
        <f t="shared" si="1"/>
      </c>
      <c r="Q111" s="2">
        <v>10.131</v>
      </c>
      <c r="R111" s="2">
        <v>42.109</v>
      </c>
    </row>
    <row r="112" spans="14:18" ht="12.75">
      <c r="N112" s="2">
        <v>191.255</v>
      </c>
      <c r="O112" s="2">
        <v>1.667</v>
      </c>
      <c r="Q112" s="2">
        <v>10.13</v>
      </c>
      <c r="R112" s="2">
        <v>41.692</v>
      </c>
    </row>
    <row r="114" spans="1:4" ht="13.5" thickBot="1">
      <c r="A114" s="11" t="s">
        <v>216</v>
      </c>
      <c r="B114" s="11"/>
      <c r="C114" s="10"/>
      <c r="D114" s="10"/>
    </row>
    <row r="115" spans="1:17" ht="12.75">
      <c r="A115" s="80" t="s">
        <v>39</v>
      </c>
      <c r="B115" s="81" t="s">
        <v>151</v>
      </c>
      <c r="C115" s="81" t="s">
        <v>152</v>
      </c>
      <c r="D115" s="82" t="s">
        <v>39</v>
      </c>
      <c r="P115" s="139" t="s">
        <v>224</v>
      </c>
      <c r="Q115" s="128">
        <f>(LatDeg+(LatMin/60)+(LatSec/3600))*IF(LatOrient="sud",-1,1)</f>
        <v>49</v>
      </c>
    </row>
    <row r="116" spans="1:17" ht="13.5" thickBot="1">
      <c r="A116" s="83" t="s">
        <v>10</v>
      </c>
      <c r="B116" s="84" t="s">
        <v>212</v>
      </c>
      <c r="C116" s="84" t="s">
        <v>213</v>
      </c>
      <c r="D116" s="85" t="s">
        <v>10</v>
      </c>
      <c r="H116" s="12" t="s">
        <v>245</v>
      </c>
      <c r="I116" s="116">
        <v>110</v>
      </c>
      <c r="M116" s="131" t="s">
        <v>289</v>
      </c>
      <c r="N116" s="120">
        <v>2</v>
      </c>
      <c r="P116" s="140" t="s">
        <v>225</v>
      </c>
      <c r="Q116" s="130">
        <f>(LongiDeg+(LongiMin/60)+(LongiSec/3600))*IF(LongiOrient="est",-1,1)</f>
        <v>-1.8166666666666667</v>
      </c>
    </row>
    <row r="117" spans="1:17" ht="13.5" thickBot="1">
      <c r="A117" s="83" t="s">
        <v>51</v>
      </c>
      <c r="B117" s="84" t="s">
        <v>164</v>
      </c>
      <c r="C117" s="84" t="s">
        <v>165</v>
      </c>
      <c r="D117" s="85" t="s">
        <v>51</v>
      </c>
      <c r="E117" s="113"/>
      <c r="H117" s="13" t="s">
        <v>231</v>
      </c>
      <c r="I117" s="7"/>
      <c r="J117" s="7"/>
      <c r="K117" s="8"/>
      <c r="M117" s="13" t="s">
        <v>241</v>
      </c>
      <c r="N117" s="71"/>
      <c r="P117" s="187" t="s">
        <v>226</v>
      </c>
      <c r="Q117" s="188"/>
    </row>
    <row r="118" spans="1:17" ht="12.75">
      <c r="A118" s="83" t="s">
        <v>55</v>
      </c>
      <c r="B118" s="84" t="s">
        <v>160</v>
      </c>
      <c r="C118" s="84" t="s">
        <v>161</v>
      </c>
      <c r="D118" s="85" t="s">
        <v>55</v>
      </c>
      <c r="E118" s="84"/>
      <c r="H118" s="9" t="s">
        <v>228</v>
      </c>
      <c r="I118" s="120" t="s">
        <v>302</v>
      </c>
      <c r="J118"/>
      <c r="K118"/>
      <c r="M118" s="3" t="s">
        <v>241</v>
      </c>
      <c r="N118" s="120" t="s">
        <v>303</v>
      </c>
      <c r="P118" s="117" t="s">
        <v>261</v>
      </c>
      <c r="Q118" s="128" t="s">
        <v>294</v>
      </c>
    </row>
    <row r="119" spans="1:17" ht="12.75">
      <c r="A119" s="83" t="s">
        <v>11</v>
      </c>
      <c r="B119" s="84" t="s">
        <v>162</v>
      </c>
      <c r="C119" s="84" t="s">
        <v>163</v>
      </c>
      <c r="D119" s="85" t="s">
        <v>11</v>
      </c>
      <c r="E119" s="113"/>
      <c r="H119" s="9" t="s">
        <v>229</v>
      </c>
      <c r="I119" s="120" t="s">
        <v>299</v>
      </c>
      <c r="J119"/>
      <c r="K119"/>
      <c r="M119" s="3" t="s">
        <v>238</v>
      </c>
      <c r="N119" s="120" t="s">
        <v>304</v>
      </c>
      <c r="P119" s="118" t="s">
        <v>262</v>
      </c>
      <c r="Q119" s="129" t="s">
        <v>295</v>
      </c>
    </row>
    <row r="120" spans="1:17" ht="13.5" thickBot="1">
      <c r="A120" s="83" t="s">
        <v>37</v>
      </c>
      <c r="B120" s="84" t="s">
        <v>154</v>
      </c>
      <c r="C120" s="84" t="s">
        <v>155</v>
      </c>
      <c r="D120" s="85" t="s">
        <v>37</v>
      </c>
      <c r="E120" s="84"/>
      <c r="H120" s="9" t="s">
        <v>230</v>
      </c>
      <c r="I120" s="120" t="s">
        <v>301</v>
      </c>
      <c r="J120" s="125" t="b">
        <f>bisextile(année)</f>
        <v>0</v>
      </c>
      <c r="K120" t="s">
        <v>240</v>
      </c>
      <c r="M120" s="3" t="s">
        <v>242</v>
      </c>
      <c r="N120" s="120" t="s">
        <v>305</v>
      </c>
      <c r="P120" s="118" t="s">
        <v>263</v>
      </c>
      <c r="Q120" s="129" t="s">
        <v>296</v>
      </c>
    </row>
    <row r="121" spans="1:17" ht="13.5" thickBot="1">
      <c r="A121" s="83" t="s">
        <v>71</v>
      </c>
      <c r="B121" s="84" t="s">
        <v>156</v>
      </c>
      <c r="C121" s="84" t="s">
        <v>157</v>
      </c>
      <c r="D121" s="85" t="s">
        <v>71</v>
      </c>
      <c r="E121" s="84"/>
      <c r="H121" s="13" t="s">
        <v>239</v>
      </c>
      <c r="I121" s="7"/>
      <c r="J121" s="7"/>
      <c r="K121" s="8"/>
      <c r="M121" s="13" t="s">
        <v>259</v>
      </c>
      <c r="N121" s="71"/>
      <c r="P121" s="119" t="s">
        <v>264</v>
      </c>
      <c r="Q121" s="130" t="s">
        <v>269</v>
      </c>
    </row>
    <row r="122" spans="1:17" ht="12.75">
      <c r="A122" s="83" t="s">
        <v>98</v>
      </c>
      <c r="B122" s="84" t="s">
        <v>279</v>
      </c>
      <c r="C122" s="84" t="s">
        <v>280</v>
      </c>
      <c r="D122" s="85" t="s">
        <v>98</v>
      </c>
      <c r="E122" s="84"/>
      <c r="H122" s="9" t="s">
        <v>232</v>
      </c>
      <c r="I122" s="121">
        <f>VLOOKUP($I$116,Données!$A:$G,6)</f>
        <v>0</v>
      </c>
      <c r="J122" t="s">
        <v>237</v>
      </c>
      <c r="K122"/>
      <c r="M122" s="3" t="s">
        <v>232</v>
      </c>
      <c r="N122" s="124">
        <f>VLOOKUP($I$131,Données!$A:$G,6)</f>
        <v>18</v>
      </c>
      <c r="P122" s="117" t="s">
        <v>265</v>
      </c>
      <c r="Q122" s="128" t="s">
        <v>295</v>
      </c>
    </row>
    <row r="123" spans="1:17" ht="12.75">
      <c r="A123" s="83" t="s">
        <v>61</v>
      </c>
      <c r="B123" s="84" t="s">
        <v>153</v>
      </c>
      <c r="C123" s="84" t="s">
        <v>153</v>
      </c>
      <c r="D123" s="85" t="s">
        <v>61</v>
      </c>
      <c r="H123" s="9" t="s">
        <v>233</v>
      </c>
      <c r="I123" s="121">
        <f>VLOOKUP($I$116,Données!$A:$G,7)</f>
        <v>40.4</v>
      </c>
      <c r="J123" t="s">
        <v>243</v>
      </c>
      <c r="K123" s="127">
        <v>270.65</v>
      </c>
      <c r="M123" s="3" t="s">
        <v>233</v>
      </c>
      <c r="N123" s="121">
        <f>VLOOKUP($I$131,Données!$A:$G,7)</f>
        <v>36.4</v>
      </c>
      <c r="P123" s="118" t="s">
        <v>266</v>
      </c>
      <c r="Q123" s="129" t="s">
        <v>296</v>
      </c>
    </row>
    <row r="124" spans="1:17" ht="12.75">
      <c r="A124" s="83" t="s">
        <v>72</v>
      </c>
      <c r="B124" s="84" t="s">
        <v>159</v>
      </c>
      <c r="C124" s="84" t="s">
        <v>158</v>
      </c>
      <c r="D124" s="85" t="s">
        <v>72</v>
      </c>
      <c r="H124" s="9" t="s">
        <v>234</v>
      </c>
      <c r="I124" s="121">
        <f>TRUNC(VLOOKUP($I$116,Données!$A:$H,8))</f>
        <v>41</v>
      </c>
      <c r="J124" t="s">
        <v>236</v>
      </c>
      <c r="K124"/>
      <c r="M124" s="3" t="s">
        <v>234</v>
      </c>
      <c r="N124" s="121">
        <f>TRUNC(VLOOKUP($I$131,Données!$A:$H,8))</f>
        <v>-23</v>
      </c>
      <c r="P124" s="118" t="s">
        <v>267</v>
      </c>
      <c r="Q124" s="129" t="s">
        <v>296</v>
      </c>
    </row>
    <row r="125" spans="1:17" ht="13.5" thickBot="1">
      <c r="A125" s="83" t="s">
        <v>36</v>
      </c>
      <c r="B125" s="84" t="s">
        <v>166</v>
      </c>
      <c r="C125" s="84" t="s">
        <v>167</v>
      </c>
      <c r="D125" s="85" t="s">
        <v>36</v>
      </c>
      <c r="H125" s="9" t="s">
        <v>235</v>
      </c>
      <c r="I125" s="121">
        <f>ABS(ROUND(VLOOKUP($I$116,Données!$A:$H,8)-$I$124,2)*100)</f>
        <v>41</v>
      </c>
      <c r="J125" t="s">
        <v>238</v>
      </c>
      <c r="K125" s="127">
        <v>-23.033333333333335</v>
      </c>
      <c r="M125" s="3" t="s">
        <v>235</v>
      </c>
      <c r="N125" s="121">
        <f>ABS(ROUND(VLOOKUP($I$131,Données!$A:$H,8)-$N$124,2)*100)</f>
        <v>54</v>
      </c>
      <c r="P125" s="119" t="s">
        <v>268</v>
      </c>
      <c r="Q125" s="130" t="s">
        <v>270</v>
      </c>
    </row>
    <row r="126" spans="1:11" ht="12.75">
      <c r="A126" s="83" t="s">
        <v>127</v>
      </c>
      <c r="B126" s="84" t="s">
        <v>168</v>
      </c>
      <c r="C126" s="84" t="s">
        <v>169</v>
      </c>
      <c r="D126" s="85" t="s">
        <v>127</v>
      </c>
      <c r="H126" s="122" t="s">
        <v>271</v>
      </c>
      <c r="I126" s="123">
        <f>VLOOKUP(I116,A:O,14)</f>
        <v>203.835</v>
      </c>
      <c r="K126"/>
    </row>
    <row r="127" spans="1:9" ht="12.75">
      <c r="A127" s="83" t="s">
        <v>50</v>
      </c>
      <c r="B127" s="84" t="s">
        <v>174</v>
      </c>
      <c r="C127" s="84" t="s">
        <v>175</v>
      </c>
      <c r="D127" s="85" t="s">
        <v>50</v>
      </c>
      <c r="H127" s="122" t="s">
        <v>272</v>
      </c>
      <c r="I127" s="123">
        <f>VLOOKUP(I116,A:O,15)</f>
        <v>5.572</v>
      </c>
    </row>
    <row r="128" spans="1:10" ht="12.75">
      <c r="A128" s="83" t="s">
        <v>23</v>
      </c>
      <c r="B128" s="84" t="s">
        <v>178</v>
      </c>
      <c r="C128" s="84" t="s">
        <v>179</v>
      </c>
      <c r="D128" s="85" t="s">
        <v>23</v>
      </c>
      <c r="H128" s="186" t="s">
        <v>244</v>
      </c>
      <c r="I128" s="186"/>
      <c r="J128" s="132">
        <v>2000</v>
      </c>
    </row>
    <row r="129" spans="1:4" ht="13.5" customHeight="1">
      <c r="A129" s="83" t="s">
        <v>65</v>
      </c>
      <c r="B129" s="84" t="s">
        <v>180</v>
      </c>
      <c r="C129" s="84" t="s">
        <v>181</v>
      </c>
      <c r="D129" s="85" t="s">
        <v>65</v>
      </c>
    </row>
    <row r="130" spans="1:14" ht="13.5" thickBot="1">
      <c r="A130" s="83" t="s">
        <v>87</v>
      </c>
      <c r="B130" s="84" t="s">
        <v>186</v>
      </c>
      <c r="C130" s="84" t="s">
        <v>87</v>
      </c>
      <c r="D130" s="85" t="s">
        <v>87</v>
      </c>
      <c r="J130" s="3" t="s">
        <v>246</v>
      </c>
      <c r="K130" s="70" t="s">
        <v>247</v>
      </c>
      <c r="L130" s="3" t="s">
        <v>255</v>
      </c>
      <c r="M130" s="3" t="s">
        <v>139</v>
      </c>
      <c r="N130" s="3" t="s">
        <v>275</v>
      </c>
    </row>
    <row r="131" spans="1:14" ht="13.5" thickBot="1">
      <c r="A131" s="83" t="s">
        <v>100</v>
      </c>
      <c r="B131" s="84" t="s">
        <v>184</v>
      </c>
      <c r="C131" s="84" t="s">
        <v>185</v>
      </c>
      <c r="D131" s="85" t="s">
        <v>100</v>
      </c>
      <c r="H131" s="138" t="s">
        <v>248</v>
      </c>
      <c r="I131" s="110">
        <f>Interface!C7</f>
        <v>22</v>
      </c>
      <c r="J131" s="133">
        <f>VLOOKUP($I$131,$A:$O,14)</f>
        <v>310.138</v>
      </c>
      <c r="K131" s="133">
        <f>VLOOKUP($I$131,$A:$O,15)</f>
        <v>2.242</v>
      </c>
      <c r="L131" s="134" t="str">
        <f>Interface!C12</f>
        <v>Sgr</v>
      </c>
      <c r="M131" s="135">
        <f>VLOOKUP($I$131,$A:$R,17)</f>
        <v>279.139</v>
      </c>
      <c r="N131" s="135">
        <f>VLOOKUP($I$131,$A:$R,18)</f>
        <v>-23.146</v>
      </c>
    </row>
    <row r="132" spans="1:15" ht="12.75">
      <c r="A132" s="83" t="s">
        <v>73</v>
      </c>
      <c r="B132" s="84" t="s">
        <v>187</v>
      </c>
      <c r="C132" s="84" t="s">
        <v>188</v>
      </c>
      <c r="D132" s="85" t="s">
        <v>73</v>
      </c>
      <c r="H132" s="138" t="s">
        <v>257</v>
      </c>
      <c r="I132" s="183" t="s">
        <v>0</v>
      </c>
      <c r="J132" s="184"/>
      <c r="K132" s="184"/>
      <c r="L132" s="136" t="s">
        <v>285</v>
      </c>
      <c r="M132" s="133">
        <f>TRUNC(M131/360*24)</f>
        <v>18</v>
      </c>
      <c r="N132" s="133">
        <f>TRUNC(N131)</f>
        <v>-23</v>
      </c>
      <c r="O132" s="126" t="s">
        <v>288</v>
      </c>
    </row>
    <row r="133" spans="1:15" ht="12.75">
      <c r="A133" s="83" t="s">
        <v>68</v>
      </c>
      <c r="B133" s="84" t="s">
        <v>182</v>
      </c>
      <c r="C133" s="84" t="s">
        <v>183</v>
      </c>
      <c r="D133" s="85" t="s">
        <v>68</v>
      </c>
      <c r="H133" s="138" t="s">
        <v>253</v>
      </c>
      <c r="I133" s="137">
        <f>Interface!D23</f>
        <v>15</v>
      </c>
      <c r="L133" s="136" t="s">
        <v>286</v>
      </c>
      <c r="M133" s="133">
        <f>INT(60*(M131/360*24-M132))</f>
        <v>36</v>
      </c>
      <c r="N133" s="133">
        <f>INT(60*(N131-N132))</f>
        <v>-9</v>
      </c>
      <c r="O133" s="126" t="s">
        <v>286</v>
      </c>
    </row>
    <row r="134" spans="1:15" ht="12.75">
      <c r="A134" s="83" t="s">
        <v>20</v>
      </c>
      <c r="B134" s="84" t="s">
        <v>189</v>
      </c>
      <c r="C134" s="84" t="s">
        <v>189</v>
      </c>
      <c r="D134" s="85" t="s">
        <v>20</v>
      </c>
      <c r="H134" s="138" t="s">
        <v>256</v>
      </c>
      <c r="I134" s="183" t="s">
        <v>1</v>
      </c>
      <c r="J134" s="184"/>
      <c r="K134" s="184"/>
      <c r="L134" s="136" t="s">
        <v>287</v>
      </c>
      <c r="M134" s="133">
        <f>INT(60*(60*(M131/360*24-M132)-M133))</f>
        <v>33</v>
      </c>
      <c r="N134" s="133">
        <f>INT(60*(60*(N131-N132)-N133))</f>
        <v>14</v>
      </c>
      <c r="O134" s="126" t="s">
        <v>287</v>
      </c>
    </row>
    <row r="135" spans="1:4" ht="13.5" thickBot="1">
      <c r="A135" s="83" t="s">
        <v>56</v>
      </c>
      <c r="B135" s="84" t="s">
        <v>190</v>
      </c>
      <c r="C135" s="84" t="s">
        <v>190</v>
      </c>
      <c r="D135" s="85" t="s">
        <v>56</v>
      </c>
    </row>
    <row r="136" spans="1:14" ht="13.5" thickBot="1">
      <c r="A136" s="83" t="s">
        <v>25</v>
      </c>
      <c r="B136" s="84" t="s">
        <v>191</v>
      </c>
      <c r="C136" s="84" t="s">
        <v>192</v>
      </c>
      <c r="D136" s="85" t="s">
        <v>25</v>
      </c>
      <c r="F136" s="96"/>
      <c r="G136" s="97"/>
      <c r="H136" s="98" t="s">
        <v>281</v>
      </c>
      <c r="I136" s="99" t="s">
        <v>166</v>
      </c>
      <c r="J136" s="104" t="str">
        <f>VLOOKUP(I136,B115:D149,3,FALSE)</f>
        <v>Cyg</v>
      </c>
      <c r="K136" s="101" t="s">
        <v>283</v>
      </c>
      <c r="L136" s="102"/>
      <c r="M136" s="103"/>
      <c r="N136" s="70">
        <f>111-COUNTBLANK(K137:K247)</f>
        <v>33</v>
      </c>
    </row>
    <row r="137" spans="1:13" ht="12.75">
      <c r="A137" s="83" t="s">
        <v>49</v>
      </c>
      <c r="B137" s="84" t="s">
        <v>193</v>
      </c>
      <c r="C137" s="84" t="s">
        <v>194</v>
      </c>
      <c r="D137" s="85" t="s">
        <v>49</v>
      </c>
      <c r="F137" s="89"/>
      <c r="G137" s="84"/>
      <c r="H137" s="90" t="s">
        <v>282</v>
      </c>
      <c r="I137" s="91">
        <v>29</v>
      </c>
      <c r="J137" s="105">
        <v>1</v>
      </c>
      <c r="K137" s="107" t="s">
        <v>8</v>
      </c>
      <c r="L137" s="115">
        <v>1</v>
      </c>
      <c r="M137" s="111"/>
    </row>
    <row r="138" spans="1:13" ht="12.75">
      <c r="A138" s="83" t="s">
        <v>92</v>
      </c>
      <c r="B138" s="84" t="s">
        <v>196</v>
      </c>
      <c r="C138" s="84" t="s">
        <v>197</v>
      </c>
      <c r="D138" s="85" t="s">
        <v>92</v>
      </c>
      <c r="F138" s="89"/>
      <c r="G138" s="84"/>
      <c r="H138" s="92"/>
      <c r="I138" s="91">
        <v>39</v>
      </c>
      <c r="J138" s="105">
        <v>2</v>
      </c>
      <c r="K138" s="107" t="s">
        <v>14</v>
      </c>
      <c r="L138" s="115">
        <v>6</v>
      </c>
      <c r="M138" s="112"/>
    </row>
    <row r="139" spans="1:13" ht="12.75">
      <c r="A139" s="83" t="s">
        <v>64</v>
      </c>
      <c r="B139" s="84" t="s">
        <v>198</v>
      </c>
      <c r="C139" s="84" t="s">
        <v>199</v>
      </c>
      <c r="D139" s="85" t="s">
        <v>64</v>
      </c>
      <c r="F139" s="89"/>
      <c r="G139" s="84"/>
      <c r="H139" s="92"/>
      <c r="I139" s="91"/>
      <c r="J139" s="105">
        <v>3</v>
      </c>
      <c r="K139" s="107" t="s">
        <v>15</v>
      </c>
      <c r="L139" s="115">
        <v>7</v>
      </c>
      <c r="M139" s="112"/>
    </row>
    <row r="140" spans="1:13" ht="12.75">
      <c r="A140" s="83" t="s">
        <v>12</v>
      </c>
      <c r="B140" s="84" t="s">
        <v>203</v>
      </c>
      <c r="C140" s="84" t="s">
        <v>204</v>
      </c>
      <c r="D140" s="85" t="s">
        <v>12</v>
      </c>
      <c r="F140" s="89"/>
      <c r="G140" s="84"/>
      <c r="H140" s="92"/>
      <c r="I140" s="91"/>
      <c r="J140" s="105">
        <v>4</v>
      </c>
      <c r="K140" s="107" t="s">
        <v>19</v>
      </c>
      <c r="L140" s="115">
        <v>8</v>
      </c>
      <c r="M140" s="112"/>
    </row>
    <row r="141" spans="1:13" ht="12.75">
      <c r="A141" s="83" t="s">
        <v>21</v>
      </c>
      <c r="B141" s="84" t="s">
        <v>170</v>
      </c>
      <c r="C141" s="84" t="s">
        <v>171</v>
      </c>
      <c r="D141" s="85" t="s">
        <v>21</v>
      </c>
      <c r="F141" s="89"/>
      <c r="G141" s="84"/>
      <c r="H141" s="92"/>
      <c r="I141" s="91"/>
      <c r="J141" s="105">
        <v>5</v>
      </c>
      <c r="K141" s="107" t="s">
        <v>22</v>
      </c>
      <c r="L141" s="115">
        <v>11</v>
      </c>
      <c r="M141" s="112"/>
    </row>
    <row r="142" spans="1:13" ht="12.75">
      <c r="A142" s="83" t="s">
        <v>205</v>
      </c>
      <c r="B142" s="84" t="s">
        <v>206</v>
      </c>
      <c r="C142" s="84" t="s">
        <v>207</v>
      </c>
      <c r="D142" s="85" t="s">
        <v>205</v>
      </c>
      <c r="F142" s="89"/>
      <c r="G142" s="84"/>
      <c r="H142" s="92"/>
      <c r="I142" s="91"/>
      <c r="J142" s="105">
        <v>6</v>
      </c>
      <c r="K142" s="107" t="s">
        <v>24</v>
      </c>
      <c r="L142" s="115">
        <v>13</v>
      </c>
      <c r="M142" s="112"/>
    </row>
    <row r="143" spans="1:13" ht="12.75">
      <c r="A143" s="83" t="s">
        <v>90</v>
      </c>
      <c r="B143" s="84" t="s">
        <v>172</v>
      </c>
      <c r="C143" s="84" t="s">
        <v>173</v>
      </c>
      <c r="D143" s="85" t="s">
        <v>90</v>
      </c>
      <c r="F143" s="89"/>
      <c r="G143" s="84"/>
      <c r="H143" s="92"/>
      <c r="I143" s="91"/>
      <c r="J143" s="105">
        <v>7</v>
      </c>
      <c r="K143" s="107" t="s">
        <v>26</v>
      </c>
      <c r="L143" s="115">
        <v>17</v>
      </c>
      <c r="M143" s="112"/>
    </row>
    <row r="144" spans="1:13" ht="12.75">
      <c r="A144" s="83" t="s">
        <v>17</v>
      </c>
      <c r="B144" s="84" t="s">
        <v>201</v>
      </c>
      <c r="C144" s="84" t="s">
        <v>202</v>
      </c>
      <c r="D144" s="85" t="s">
        <v>17</v>
      </c>
      <c r="F144" s="89"/>
      <c r="G144" s="84"/>
      <c r="H144" s="92"/>
      <c r="I144" s="91"/>
      <c r="J144" s="105">
        <v>8</v>
      </c>
      <c r="K144" s="107" t="s">
        <v>27</v>
      </c>
      <c r="L144" s="115">
        <v>20</v>
      </c>
      <c r="M144" s="112"/>
    </row>
    <row r="145" spans="1:13" ht="12.75">
      <c r="A145" s="83" t="s">
        <v>6</v>
      </c>
      <c r="B145" s="84" t="s">
        <v>208</v>
      </c>
      <c r="C145" s="84" t="s">
        <v>209</v>
      </c>
      <c r="D145" s="85" t="s">
        <v>6</v>
      </c>
      <c r="F145" s="89"/>
      <c r="G145" s="84"/>
      <c r="H145" s="92"/>
      <c r="I145" s="91"/>
      <c r="J145" s="105">
        <v>9</v>
      </c>
      <c r="K145" s="107" t="s">
        <v>29</v>
      </c>
      <c r="L145" s="115">
        <v>24</v>
      </c>
      <c r="M145" s="112"/>
    </row>
    <row r="146" spans="1:13" ht="12.75">
      <c r="A146" s="83" t="s">
        <v>46</v>
      </c>
      <c r="B146" s="84" t="s">
        <v>210</v>
      </c>
      <c r="C146" s="84" t="s">
        <v>211</v>
      </c>
      <c r="D146" s="85" t="s">
        <v>46</v>
      </c>
      <c r="F146" s="89"/>
      <c r="G146" s="84"/>
      <c r="H146" s="92"/>
      <c r="I146" s="91"/>
      <c r="J146" s="105">
        <v>10</v>
      </c>
      <c r="K146" s="107" t="s">
        <v>35</v>
      </c>
      <c r="L146" s="115">
        <v>27</v>
      </c>
      <c r="M146" s="112"/>
    </row>
    <row r="147" spans="1:13" ht="12.75">
      <c r="A147" s="83" t="s">
        <v>53</v>
      </c>
      <c r="B147" s="84" t="s">
        <v>176</v>
      </c>
      <c r="C147" s="84" t="s">
        <v>177</v>
      </c>
      <c r="D147" s="85" t="s">
        <v>53</v>
      </c>
      <c r="F147" s="89"/>
      <c r="G147" s="84"/>
      <c r="H147" s="92"/>
      <c r="I147" s="91"/>
      <c r="J147" s="105">
        <v>11</v>
      </c>
      <c r="K147" s="107" t="s">
        <v>42</v>
      </c>
      <c r="L147" s="115">
        <v>31</v>
      </c>
      <c r="M147" s="112"/>
    </row>
    <row r="148" spans="1:13" ht="12.75">
      <c r="A148" s="83" t="s">
        <v>66</v>
      </c>
      <c r="B148" s="84" t="s">
        <v>214</v>
      </c>
      <c r="C148" s="84" t="s">
        <v>215</v>
      </c>
      <c r="D148" s="85" t="s">
        <v>66</v>
      </c>
      <c r="F148" s="89"/>
      <c r="G148" s="84"/>
      <c r="H148" s="92"/>
      <c r="I148" s="91"/>
      <c r="J148" s="105">
        <v>12</v>
      </c>
      <c r="K148" s="107" t="s">
        <v>45</v>
      </c>
      <c r="L148" s="115">
        <v>32</v>
      </c>
      <c r="M148" s="112"/>
    </row>
    <row r="149" spans="1:13" ht="13.5" thickBot="1">
      <c r="A149" s="86" t="s">
        <v>32</v>
      </c>
      <c r="B149" s="87" t="s">
        <v>200</v>
      </c>
      <c r="C149" s="87" t="s">
        <v>195</v>
      </c>
      <c r="D149" s="88" t="s">
        <v>32</v>
      </c>
      <c r="F149" s="89"/>
      <c r="G149" s="84"/>
      <c r="H149" s="92"/>
      <c r="I149" s="91"/>
      <c r="J149" s="105">
        <v>13</v>
      </c>
      <c r="K149" s="107" t="s">
        <v>48</v>
      </c>
      <c r="L149" s="115">
        <v>33</v>
      </c>
      <c r="M149" s="112"/>
    </row>
    <row r="150" spans="6:13" ht="12.75">
      <c r="F150" s="89"/>
      <c r="G150" s="84"/>
      <c r="H150" s="92"/>
      <c r="I150" s="91"/>
      <c r="J150" s="105">
        <v>14</v>
      </c>
      <c r="K150" s="107" t="s">
        <v>54</v>
      </c>
      <c r="L150" s="115">
        <v>40</v>
      </c>
      <c r="M150" s="112"/>
    </row>
    <row r="151" spans="6:13" ht="12.75">
      <c r="F151" s="89"/>
      <c r="G151" s="84"/>
      <c r="H151" s="92"/>
      <c r="I151" s="91"/>
      <c r="J151" s="105">
        <v>15</v>
      </c>
      <c r="K151" s="107" t="s">
        <v>58</v>
      </c>
      <c r="L151" s="115">
        <v>42</v>
      </c>
      <c r="M151" s="112"/>
    </row>
    <row r="152" spans="6:13" ht="12.75">
      <c r="F152" s="89"/>
      <c r="G152" s="84"/>
      <c r="H152" s="92"/>
      <c r="I152" s="91"/>
      <c r="J152" s="105">
        <v>16</v>
      </c>
      <c r="K152" s="107" t="s">
        <v>60</v>
      </c>
      <c r="L152" s="115">
        <v>43</v>
      </c>
      <c r="M152" s="112"/>
    </row>
    <row r="153" spans="6:13" ht="12.75">
      <c r="F153" s="89"/>
      <c r="G153" s="84"/>
      <c r="H153" s="92"/>
      <c r="I153" s="91"/>
      <c r="J153" s="105">
        <v>17</v>
      </c>
      <c r="K153" s="107" t="s">
        <v>62</v>
      </c>
      <c r="L153" s="115">
        <v>44</v>
      </c>
      <c r="M153" s="112"/>
    </row>
    <row r="154" spans="6:13" ht="12.75">
      <c r="F154" s="89"/>
      <c r="G154" s="84"/>
      <c r="H154" s="92"/>
      <c r="I154" s="91"/>
      <c r="J154" s="105">
        <v>18</v>
      </c>
      <c r="K154" s="107" t="s">
        <v>63</v>
      </c>
      <c r="L154" s="115">
        <v>45</v>
      </c>
      <c r="M154" s="112"/>
    </row>
    <row r="155" spans="6:13" ht="12.75">
      <c r="F155" s="89"/>
      <c r="G155" s="84"/>
      <c r="H155" s="92"/>
      <c r="I155" s="91"/>
      <c r="J155" s="105">
        <v>19</v>
      </c>
      <c r="K155" s="107" t="s">
        <v>70</v>
      </c>
      <c r="L155" s="115">
        <v>51</v>
      </c>
      <c r="M155" s="112"/>
    </row>
    <row r="156" spans="6:13" ht="13.5" thickBot="1">
      <c r="F156" s="93"/>
      <c r="G156" s="87"/>
      <c r="H156" s="94"/>
      <c r="I156" s="95"/>
      <c r="J156" s="106">
        <v>20</v>
      </c>
      <c r="K156" s="107" t="s">
        <v>76</v>
      </c>
      <c r="L156" s="115">
        <v>57</v>
      </c>
      <c r="M156" s="112"/>
    </row>
    <row r="157" spans="11:13" ht="12.75">
      <c r="K157" s="107" t="s">
        <v>83</v>
      </c>
      <c r="L157" s="115">
        <v>63</v>
      </c>
      <c r="M157" s="112"/>
    </row>
    <row r="158" spans="11:13" ht="12.75">
      <c r="K158" s="107" t="s">
        <v>86</v>
      </c>
      <c r="L158" s="115">
        <v>64</v>
      </c>
      <c r="M158" s="112"/>
    </row>
    <row r="159" spans="11:13" ht="12.75">
      <c r="K159" s="107" t="s">
        <v>97</v>
      </c>
      <c r="L159" s="115">
        <v>76</v>
      </c>
      <c r="M159" s="112"/>
    </row>
    <row r="160" spans="11:13" ht="12.75">
      <c r="K160" s="107" t="s">
        <v>99</v>
      </c>
      <c r="L160" s="115">
        <v>77</v>
      </c>
      <c r="M160" s="112"/>
    </row>
    <row r="161" spans="11:13" ht="12.75">
      <c r="K161" s="107" t="s">
        <v>102</v>
      </c>
      <c r="L161" s="115">
        <v>81</v>
      </c>
      <c r="M161" s="112"/>
    </row>
    <row r="162" spans="11:13" ht="12.75">
      <c r="K162" s="107" t="s">
        <v>105</v>
      </c>
      <c r="L162" s="115">
        <v>82</v>
      </c>
      <c r="M162" s="112"/>
    </row>
    <row r="163" spans="11:13" ht="12.75">
      <c r="K163" s="107" t="s">
        <v>107</v>
      </c>
      <c r="L163" s="115">
        <v>83</v>
      </c>
      <c r="M163" s="112"/>
    </row>
    <row r="164" spans="11:13" ht="12.75">
      <c r="K164" s="107" t="s">
        <v>112</v>
      </c>
      <c r="L164" s="115">
        <v>87</v>
      </c>
      <c r="M164" s="112"/>
    </row>
    <row r="165" spans="11:13" ht="12.75">
      <c r="K165" s="107" t="s">
        <v>122</v>
      </c>
      <c r="L165" s="115">
        <v>97</v>
      </c>
      <c r="M165" s="112"/>
    </row>
    <row r="166" spans="11:13" ht="12.75">
      <c r="K166" s="107" t="s">
        <v>125</v>
      </c>
      <c r="L166" s="115">
        <v>101</v>
      </c>
      <c r="M166" s="112"/>
    </row>
    <row r="167" spans="11:13" ht="12.75">
      <c r="K167" s="107" t="s">
        <v>126</v>
      </c>
      <c r="L167" s="115">
        <v>102</v>
      </c>
      <c r="M167" s="112"/>
    </row>
    <row r="168" spans="11:13" ht="12.75">
      <c r="K168" s="107" t="s">
        <v>130</v>
      </c>
      <c r="L168" s="115">
        <v>103</v>
      </c>
      <c r="M168" s="112"/>
    </row>
    <row r="169" spans="11:13" ht="12.75">
      <c r="K169" s="107" t="s">
        <v>131</v>
      </c>
      <c r="L169" s="115">
        <v>105</v>
      </c>
      <c r="M169" s="112"/>
    </row>
    <row r="170" spans="11:13" ht="12.75">
      <c r="K170" s="107"/>
      <c r="L170" s="113"/>
      <c r="M170" s="112"/>
    </row>
    <row r="171" spans="11:13" ht="12.75">
      <c r="K171" s="107"/>
      <c r="L171" s="113"/>
      <c r="M171" s="112"/>
    </row>
    <row r="172" spans="11:13" ht="12.75">
      <c r="K172" s="107"/>
      <c r="L172" s="113"/>
      <c r="M172" s="112"/>
    </row>
    <row r="173" spans="11:13" ht="12.75">
      <c r="K173" s="107"/>
      <c r="L173" s="113"/>
      <c r="M173" s="112"/>
    </row>
    <row r="174" spans="11:13" ht="12.75">
      <c r="K174" s="107"/>
      <c r="L174" s="113"/>
      <c r="M174" s="112"/>
    </row>
    <row r="175" spans="11:13" ht="12.75">
      <c r="K175" s="107"/>
      <c r="L175" s="113"/>
      <c r="M175" s="112"/>
    </row>
    <row r="176" spans="11:13" ht="12.75">
      <c r="K176" s="107"/>
      <c r="L176" s="113"/>
      <c r="M176" s="112"/>
    </row>
    <row r="177" spans="11:13" ht="12.75">
      <c r="K177" s="107"/>
      <c r="L177" s="113"/>
      <c r="M177" s="112"/>
    </row>
    <row r="178" spans="11:13" ht="12.75">
      <c r="K178" s="107"/>
      <c r="L178" s="113"/>
      <c r="M178" s="112"/>
    </row>
    <row r="179" spans="11:13" ht="12.75">
      <c r="K179" s="107"/>
      <c r="L179" s="113"/>
      <c r="M179" s="112"/>
    </row>
    <row r="180" spans="11:13" ht="12.75">
      <c r="K180" s="107"/>
      <c r="L180" s="113"/>
      <c r="M180" s="112"/>
    </row>
    <row r="181" spans="11:13" ht="12.75">
      <c r="K181" s="107"/>
      <c r="L181" s="113"/>
      <c r="M181" s="112"/>
    </row>
    <row r="182" spans="11:13" ht="12.75">
      <c r="K182" s="107"/>
      <c r="L182" s="113"/>
      <c r="M182" s="112"/>
    </row>
    <row r="183" spans="11:13" ht="12.75">
      <c r="K183" s="107"/>
      <c r="L183" s="113"/>
      <c r="M183" s="112"/>
    </row>
    <row r="184" spans="11:13" ht="12.75">
      <c r="K184" s="107"/>
      <c r="L184" s="113"/>
      <c r="M184" s="112"/>
    </row>
    <row r="185" spans="11:13" ht="12.75">
      <c r="K185" s="107"/>
      <c r="L185" s="113"/>
      <c r="M185" s="112"/>
    </row>
    <row r="186" spans="11:13" ht="12.75">
      <c r="K186" s="107"/>
      <c r="L186" s="113"/>
      <c r="M186" s="112"/>
    </row>
    <row r="187" spans="11:13" ht="12.75">
      <c r="K187" s="107"/>
      <c r="L187" s="113"/>
      <c r="M187" s="112"/>
    </row>
    <row r="188" spans="11:13" ht="12.75">
      <c r="K188" s="107"/>
      <c r="L188" s="113"/>
      <c r="M188" s="112"/>
    </row>
    <row r="189" spans="11:13" ht="12.75">
      <c r="K189" s="107"/>
      <c r="L189" s="113"/>
      <c r="M189" s="112"/>
    </row>
    <row r="190" spans="11:13" ht="12.75">
      <c r="K190" s="107"/>
      <c r="L190" s="113"/>
      <c r="M190" s="112"/>
    </row>
    <row r="191" spans="11:13" ht="12.75">
      <c r="K191" s="107"/>
      <c r="L191" s="113"/>
      <c r="M191" s="112"/>
    </row>
    <row r="192" spans="11:13" ht="12.75">
      <c r="K192" s="107"/>
      <c r="L192" s="113"/>
      <c r="M192" s="112"/>
    </row>
    <row r="193" spans="11:13" ht="12.75">
      <c r="K193" s="107"/>
      <c r="L193" s="113"/>
      <c r="M193" s="112"/>
    </row>
    <row r="194" spans="11:13" ht="12.75">
      <c r="K194" s="107"/>
      <c r="L194" s="113"/>
      <c r="M194" s="112"/>
    </row>
    <row r="195" spans="11:13" ht="12.75">
      <c r="K195" s="107"/>
      <c r="L195" s="113"/>
      <c r="M195" s="112"/>
    </row>
    <row r="196" spans="11:13" ht="12.75">
      <c r="K196" s="107"/>
      <c r="L196" s="113"/>
      <c r="M196" s="112"/>
    </row>
    <row r="197" spans="11:13" ht="12.75">
      <c r="K197" s="107"/>
      <c r="L197" s="113"/>
      <c r="M197" s="112"/>
    </row>
    <row r="198" spans="11:13" ht="12.75">
      <c r="K198" s="107"/>
      <c r="L198" s="113"/>
      <c r="M198" s="112"/>
    </row>
    <row r="199" spans="11:13" ht="12.75">
      <c r="K199" s="107"/>
      <c r="L199" s="113"/>
      <c r="M199" s="112"/>
    </row>
    <row r="200" spans="11:13" ht="12.75">
      <c r="K200" s="107"/>
      <c r="L200" s="113"/>
      <c r="M200" s="112"/>
    </row>
    <row r="201" spans="11:13" ht="12.75">
      <c r="K201" s="107"/>
      <c r="L201" s="113"/>
      <c r="M201" s="112"/>
    </row>
    <row r="202" spans="11:13" ht="12.75">
      <c r="K202" s="108"/>
      <c r="L202" s="113"/>
      <c r="M202" s="112"/>
    </row>
    <row r="203" spans="11:13" ht="12.75">
      <c r="K203" s="108"/>
      <c r="L203" s="113"/>
      <c r="M203" s="112"/>
    </row>
    <row r="204" spans="11:13" ht="12.75">
      <c r="K204" s="108"/>
      <c r="L204" s="113"/>
      <c r="M204" s="112"/>
    </row>
    <row r="205" spans="11:13" ht="12.75">
      <c r="K205" s="108"/>
      <c r="L205" s="113"/>
      <c r="M205" s="112"/>
    </row>
    <row r="206" spans="11:13" ht="12.75">
      <c r="K206" s="108"/>
      <c r="L206" s="113"/>
      <c r="M206" s="112"/>
    </row>
    <row r="207" spans="11:13" ht="12.75">
      <c r="K207" s="108"/>
      <c r="L207" s="113"/>
      <c r="M207" s="112"/>
    </row>
    <row r="208" spans="11:13" ht="12.75">
      <c r="K208" s="108"/>
      <c r="L208" s="113"/>
      <c r="M208" s="112"/>
    </row>
    <row r="209" spans="11:13" ht="12.75">
      <c r="K209" s="108"/>
      <c r="L209" s="113"/>
      <c r="M209" s="112"/>
    </row>
    <row r="210" spans="11:13" ht="12.75">
      <c r="K210" s="108"/>
      <c r="L210" s="113"/>
      <c r="M210" s="112"/>
    </row>
    <row r="211" spans="11:13" ht="12.75">
      <c r="K211" s="108"/>
      <c r="L211" s="113"/>
      <c r="M211" s="112"/>
    </row>
    <row r="212" spans="11:13" ht="12.75">
      <c r="K212" s="108"/>
      <c r="L212" s="113"/>
      <c r="M212" s="112"/>
    </row>
    <row r="213" spans="11:13" ht="12.75">
      <c r="K213" s="108"/>
      <c r="L213" s="113"/>
      <c r="M213" s="112"/>
    </row>
    <row r="214" spans="11:13" ht="12.75">
      <c r="K214" s="108"/>
      <c r="L214" s="113"/>
      <c r="M214" s="112"/>
    </row>
    <row r="215" spans="11:13" ht="12.75">
      <c r="K215" s="108"/>
      <c r="L215" s="113"/>
      <c r="M215" s="112"/>
    </row>
    <row r="216" spans="11:13" ht="12.75">
      <c r="K216" s="108"/>
      <c r="L216" s="113"/>
      <c r="M216" s="112"/>
    </row>
    <row r="217" spans="11:13" ht="12.75">
      <c r="K217" s="108"/>
      <c r="L217" s="113"/>
      <c r="M217" s="112"/>
    </row>
    <row r="218" spans="11:13" ht="12.75">
      <c r="K218" s="108"/>
      <c r="L218" s="113"/>
      <c r="M218" s="112"/>
    </row>
    <row r="219" spans="11:13" ht="12.75">
      <c r="K219" s="108"/>
      <c r="L219" s="113"/>
      <c r="M219" s="112"/>
    </row>
    <row r="220" spans="11:13" ht="12.75">
      <c r="K220" s="108"/>
      <c r="L220" s="113"/>
      <c r="M220" s="112"/>
    </row>
    <row r="221" spans="11:13" ht="12.75">
      <c r="K221" s="108"/>
      <c r="L221" s="113"/>
      <c r="M221" s="112"/>
    </row>
    <row r="222" spans="11:13" ht="12.75">
      <c r="K222" s="108"/>
      <c r="L222" s="113"/>
      <c r="M222" s="112"/>
    </row>
    <row r="223" spans="11:13" ht="12.75">
      <c r="K223" s="108"/>
      <c r="L223" s="113"/>
      <c r="M223" s="112"/>
    </row>
    <row r="224" spans="11:13" ht="12.75">
      <c r="K224" s="108"/>
      <c r="L224" s="113"/>
      <c r="M224" s="112"/>
    </row>
    <row r="225" spans="11:13" ht="12.75">
      <c r="K225" s="108"/>
      <c r="L225" s="113"/>
      <c r="M225" s="112"/>
    </row>
    <row r="226" spans="11:13" ht="12.75">
      <c r="K226" s="108"/>
      <c r="L226" s="113"/>
      <c r="M226" s="112"/>
    </row>
    <row r="227" spans="11:13" ht="12.75">
      <c r="K227" s="108"/>
      <c r="L227" s="113"/>
      <c r="M227" s="112"/>
    </row>
    <row r="228" spans="11:13" ht="12.75">
      <c r="K228" s="108"/>
      <c r="L228" s="113"/>
      <c r="M228" s="112"/>
    </row>
    <row r="229" spans="11:13" ht="12.75">
      <c r="K229" s="108"/>
      <c r="L229" s="113"/>
      <c r="M229" s="112"/>
    </row>
    <row r="230" spans="11:13" ht="12.75">
      <c r="K230" s="108"/>
      <c r="L230" s="113"/>
      <c r="M230" s="112"/>
    </row>
    <row r="231" spans="11:13" ht="12.75">
      <c r="K231" s="108"/>
      <c r="L231" s="113"/>
      <c r="M231" s="112"/>
    </row>
    <row r="232" spans="11:13" ht="12.75">
      <c r="K232" s="108"/>
      <c r="L232" s="113"/>
      <c r="M232" s="112"/>
    </row>
    <row r="233" spans="11:13" ht="12.75">
      <c r="K233" s="108"/>
      <c r="L233" s="113"/>
      <c r="M233" s="112"/>
    </row>
    <row r="234" spans="11:13" ht="12.75">
      <c r="K234" s="108"/>
      <c r="L234" s="113"/>
      <c r="M234" s="112"/>
    </row>
    <row r="235" spans="11:13" ht="12.75">
      <c r="K235" s="108"/>
      <c r="L235" s="113"/>
      <c r="M235" s="112"/>
    </row>
    <row r="236" spans="11:13" ht="12.75">
      <c r="K236" s="108"/>
      <c r="L236" s="113"/>
      <c r="M236" s="112"/>
    </row>
    <row r="237" spans="11:13" ht="12.75">
      <c r="K237" s="108"/>
      <c r="L237" s="113"/>
      <c r="M237" s="112"/>
    </row>
    <row r="238" spans="11:13" ht="12.75">
      <c r="K238" s="108"/>
      <c r="L238" s="113"/>
      <c r="M238" s="112"/>
    </row>
    <row r="239" spans="11:13" ht="12.75">
      <c r="K239" s="108"/>
      <c r="L239" s="113"/>
      <c r="M239" s="112"/>
    </row>
    <row r="240" spans="11:13" ht="12.75">
      <c r="K240" s="108"/>
      <c r="L240" s="113"/>
      <c r="M240" s="112"/>
    </row>
    <row r="241" spans="11:13" ht="12.75">
      <c r="K241" s="108"/>
      <c r="L241" s="113"/>
      <c r="M241" s="112"/>
    </row>
    <row r="242" spans="11:13" ht="12.75">
      <c r="K242" s="108"/>
      <c r="L242" s="113"/>
      <c r="M242" s="112"/>
    </row>
    <row r="243" spans="11:13" ht="12.75">
      <c r="K243" s="108"/>
      <c r="L243" s="113"/>
      <c r="M243" s="112"/>
    </row>
    <row r="244" spans="11:13" ht="12.75">
      <c r="K244" s="108"/>
      <c r="L244" s="113"/>
      <c r="M244" s="112"/>
    </row>
    <row r="245" spans="11:13" ht="12.75">
      <c r="K245" s="108"/>
      <c r="L245" s="113"/>
      <c r="M245" s="112"/>
    </row>
    <row r="246" spans="11:13" ht="12.75">
      <c r="K246" s="108"/>
      <c r="L246" s="113"/>
      <c r="M246" s="112"/>
    </row>
    <row r="247" spans="11:13" ht="13.5" thickBot="1">
      <c r="K247" s="109"/>
      <c r="L247" s="114"/>
      <c r="M247" s="112"/>
    </row>
  </sheetData>
  <autoFilter ref="D1:E113"/>
  <mergeCells count="5">
    <mergeCell ref="I134:K134"/>
    <mergeCell ref="F1:G1"/>
    <mergeCell ref="H128:I128"/>
    <mergeCell ref="P117:Q117"/>
    <mergeCell ref="I132:K132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Frédéric GUINEPAIN</cp:lastModifiedBy>
  <dcterms:created xsi:type="dcterms:W3CDTF">2002-06-25T21:45:12Z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